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noldputten/Documents/CO2/Buffers/Publicaties/20200318/"/>
    </mc:Choice>
  </mc:AlternateContent>
  <xr:revisionPtr revIDLastSave="0" documentId="8_{04387962-D1B8-B742-98AD-B95D51356414}" xr6:coauthVersionLast="36" xr6:coauthVersionMax="36" xr10:uidLastSave="{00000000-0000-0000-0000-000000000000}"/>
  <bookViews>
    <workbookView xWindow="140" yWindow="460" windowWidth="23260" windowHeight="13180" activeTab="1" xr2:uid="{00000000-000D-0000-FFFF-FFFF00000000}"/>
  </bookViews>
  <sheets>
    <sheet name="System" sheetId="40" r:id="rId1"/>
    <sheet name="Input-Results" sheetId="10" r:id="rId2"/>
    <sheet name="Condensers" sheetId="24" r:id="rId3"/>
    <sheet name="HE1" sheetId="2" r:id="rId4"/>
    <sheet name="HE2" sheetId="12" r:id="rId5"/>
    <sheet name="HE3" sheetId="13" r:id="rId6"/>
    <sheet name="HE4" sheetId="37" r:id="rId7"/>
    <sheet name="HE5" sheetId="22" r:id="rId8"/>
    <sheet name="HE6" sheetId="47" r:id="rId9"/>
    <sheet name="V1" sheetId="36" r:id="rId10"/>
    <sheet name="V2" sheetId="42" r:id="rId11"/>
    <sheet name="Boiler" sheetId="25" r:id="rId12"/>
    <sheet name="CON1.1" sheetId="34" r:id="rId13"/>
    <sheet name="CON1.2" sheetId="43" r:id="rId14"/>
    <sheet name="CON2" sheetId="23" r:id="rId15"/>
    <sheet name="CON3" sheetId="44" r:id="rId16"/>
    <sheet name="CON4" sheetId="45" r:id="rId17"/>
    <sheet name="CH4 compressors" sheetId="49" r:id="rId18"/>
    <sheet name="Interpolation 1" sheetId="3" state="hidden" r:id="rId19"/>
    <sheet name="Interpolation 2" sheetId="11" state="hidden" r:id="rId20"/>
    <sheet name="Interpolation 3" sheetId="14" state="hidden" r:id="rId21"/>
    <sheet name="Insulation" sheetId="53" state="hidden" r:id="rId22"/>
  </sheets>
  <definedNames>
    <definedName name="_xlnm.Print_Area" localSheetId="11">Boiler!$B$3:$Q$39</definedName>
    <definedName name="_xlnm.Print_Area" localSheetId="12">'CON1.1'!$B$2:$Q$41</definedName>
    <definedName name="_xlnm.Print_Area" localSheetId="13">'CON1.2'!$B$2:$Q$41</definedName>
    <definedName name="_xlnm.Print_Area" localSheetId="4">'HE2'!$B$2:$J$45</definedName>
    <definedName name="_xlnm.Print_Area" localSheetId="5">'HE3'!$B$2:$J$44</definedName>
    <definedName name="_xlnm.Print_Area" localSheetId="7">'HE5'!$B$2:$J$33</definedName>
    <definedName name="_xlnm.Print_Area" localSheetId="8">'HE6'!$B$2:$J$45</definedName>
    <definedName name="_xlnm.Print_Area" localSheetId="1">'Input-Results'!$F$15:$AG$47</definedName>
    <definedName name="_xlnm.Print_Area" localSheetId="9">'V1'!$B$2:$K$25</definedName>
    <definedName name="Intercooler" localSheetId="17">'CH4 compressors'!$AN$16:$AN$17</definedName>
    <definedName name="Intercooler">#REF!</definedName>
    <definedName name="solver_adj" localSheetId="17" hidden="1">'CH4 compressors'!$D$20</definedName>
    <definedName name="solver_adj" localSheetId="1" hidden="1">'Input-Results'!$D$33:$D$35</definedName>
    <definedName name="solver_cvg" localSheetId="17" hidden="1">0.0001</definedName>
    <definedName name="solver_cvg" localSheetId="1" hidden="1">0.0001</definedName>
    <definedName name="solver_drv" localSheetId="17" hidden="1">1</definedName>
    <definedName name="solver_drv" localSheetId="1" hidden="1">1</definedName>
    <definedName name="solver_est" localSheetId="17" hidden="1">1</definedName>
    <definedName name="solver_est" localSheetId="1" hidden="1">1</definedName>
    <definedName name="solver_itr" localSheetId="17" hidden="1">100</definedName>
    <definedName name="solver_itr" localSheetId="1" hidden="1">50</definedName>
    <definedName name="solver_lhs1" localSheetId="1" hidden="1">'Input-Results'!$D$33</definedName>
    <definedName name="solver_lhs10" localSheetId="1" hidden="1">'Input-Results'!#REF!</definedName>
    <definedName name="solver_lhs11" localSheetId="1" hidden="1">'Input-Results'!$D$34</definedName>
    <definedName name="solver_lhs12" localSheetId="1" hidden="1">'Input-Results'!$D$35</definedName>
    <definedName name="solver_lhs13" localSheetId="1" hidden="1">'Input-Results'!$D$39</definedName>
    <definedName name="solver_lhs2" localSheetId="1" hidden="1">'Input-Results'!#REF!</definedName>
    <definedName name="solver_lhs3" localSheetId="1" hidden="1">'Input-Results'!$D$34</definedName>
    <definedName name="solver_lhs4" localSheetId="1" hidden="1">'Input-Results'!$D$35</definedName>
    <definedName name="solver_lhs5" localSheetId="1" hidden="1">'Input-Results'!$D$33</definedName>
    <definedName name="solver_lhs6" localSheetId="1" hidden="1">'Input-Results'!#REF!</definedName>
    <definedName name="solver_lhs7" localSheetId="1" hidden="1">'Input-Results'!$D$34</definedName>
    <definedName name="solver_lhs8" localSheetId="1" hidden="1">'Input-Results'!$D$35</definedName>
    <definedName name="solver_lhs9" localSheetId="1" hidden="1">'Input-Results'!$D$33</definedName>
    <definedName name="solver_lin" localSheetId="17" hidden="1">2</definedName>
    <definedName name="solver_lin" localSheetId="1" hidden="1">2</definedName>
    <definedName name="solver_neg" localSheetId="17" hidden="1">2</definedName>
    <definedName name="solver_neg" localSheetId="1" hidden="1">2</definedName>
    <definedName name="solver_num" localSheetId="17" hidden="1">0</definedName>
    <definedName name="solver_num" localSheetId="1" hidden="1">13</definedName>
    <definedName name="solver_nwt" localSheetId="17" hidden="1">1</definedName>
    <definedName name="solver_nwt" localSheetId="1" hidden="1">1</definedName>
    <definedName name="solver_opt" localSheetId="17" hidden="1">'CH4 compressors'!$V$57</definedName>
    <definedName name="solver_opt" localSheetId="1" hidden="1">'Input-Results'!$AB$12</definedName>
    <definedName name="solver_pre" localSheetId="17" hidden="1">0.000001</definedName>
    <definedName name="solver_pre" localSheetId="1" hidden="1">0.000001</definedName>
    <definedName name="solver_rel1" localSheetId="1" hidden="1">4</definedName>
    <definedName name="solver_rel10" localSheetId="1" hidden="1">1</definedName>
    <definedName name="solver_rel11" localSheetId="1" hidden="1">1</definedName>
    <definedName name="solver_rel12" localSheetId="1" hidden="1">1</definedName>
    <definedName name="solver_rel13" localSheetId="1" hidden="1">2</definedName>
    <definedName name="solver_rel2" localSheetId="1" hidden="1">4</definedName>
    <definedName name="solver_rel3" localSheetId="1" hidden="1">4</definedName>
    <definedName name="solver_rel4" localSheetId="1" hidden="1">4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1</definedName>
    <definedName name="solver_rhs1" localSheetId="1" hidden="1">integer</definedName>
    <definedName name="solver_rhs10" localSheetId="1" hidden="1">5</definedName>
    <definedName name="solver_rhs11" localSheetId="1" hidden="1">5</definedName>
    <definedName name="solver_rhs12" localSheetId="1" hidden="1">5</definedName>
    <definedName name="solver_rhs13" localSheetId="1" hidden="1">4</definedName>
    <definedName name="solver_rhs2" localSheetId="1" hidden="1">integer</definedName>
    <definedName name="solver_rhs3" localSheetId="1" hidden="1">integer</definedName>
    <definedName name="solver_rhs4" localSheetId="1" hidden="1">integer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0</definedName>
    <definedName name="solver_rhs9" localSheetId="1" hidden="1">5</definedName>
    <definedName name="solver_scl" localSheetId="17" hidden="1">2</definedName>
    <definedName name="solver_scl" localSheetId="1" hidden="1">2</definedName>
    <definedName name="solver_sho" localSheetId="17" hidden="1">2</definedName>
    <definedName name="solver_sho" localSheetId="1" hidden="1">2</definedName>
    <definedName name="solver_tim" localSheetId="17" hidden="1">100</definedName>
    <definedName name="solver_tim" localSheetId="1" hidden="1">300</definedName>
    <definedName name="solver_tol" localSheetId="17" hidden="1">0.05</definedName>
    <definedName name="solver_tol" localSheetId="1" hidden="1">0.05</definedName>
    <definedName name="solver_typ" localSheetId="17" hidden="1">3</definedName>
    <definedName name="solver_typ" localSheetId="1" hidden="1">2</definedName>
    <definedName name="solver_val" localSheetId="17" hidden="1">70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E16" i="23" l="1"/>
  <c r="D61" i="53"/>
  <c r="D43" i="53"/>
  <c r="W8" i="10"/>
  <c r="W9" i="10"/>
  <c r="Q7" i="47" l="1"/>
  <c r="X7" i="47"/>
  <c r="Q7" i="2"/>
  <c r="Q23" i="2" s="1"/>
  <c r="X17" i="47" l="1"/>
  <c r="X27" i="47"/>
  <c r="X26" i="47"/>
  <c r="X24" i="47"/>
  <c r="X23" i="47"/>
  <c r="Q17" i="2"/>
  <c r="Q27" i="2"/>
  <c r="Q26" i="2"/>
  <c r="Q24" i="2"/>
  <c r="Q7" i="12" l="1"/>
  <c r="Q26" i="12" s="1"/>
  <c r="X8" i="13"/>
  <c r="X37" i="13" s="1"/>
  <c r="Q24" i="12" l="1"/>
  <c r="Q23" i="12"/>
  <c r="Q19" i="12"/>
  <c r="Q18" i="12"/>
  <c r="Q17" i="12"/>
  <c r="C29" i="42"/>
  <c r="N63" i="53"/>
  <c r="H63" i="53"/>
  <c r="D57" i="53"/>
  <c r="D59" i="53" s="1"/>
  <c r="D54" i="53"/>
  <c r="D53" i="53"/>
  <c r="S47" i="53"/>
  <c r="D39" i="53"/>
  <c r="D38" i="53"/>
  <c r="D36" i="53"/>
  <c r="M31" i="53"/>
  <c r="D31" i="53"/>
  <c r="D32" i="53" s="1"/>
  <c r="D41" i="53" s="1"/>
  <c r="D42" i="53" s="1"/>
  <c r="D30" i="53"/>
  <c r="D27" i="53"/>
  <c r="H47" i="53" s="1"/>
  <c r="P21" i="53"/>
  <c r="H21" i="53"/>
  <c r="D14" i="53"/>
  <c r="D11" i="53"/>
  <c r="D8" i="53"/>
  <c r="D16" i="53" s="1"/>
  <c r="D17" i="53" s="1"/>
  <c r="D19" i="53" s="1"/>
  <c r="M7" i="53"/>
  <c r="D60" i="53" l="1"/>
  <c r="D62" i="53" s="1"/>
  <c r="P31" i="53"/>
  <c r="S37" i="53"/>
  <c r="D48" i="53"/>
  <c r="Q47" i="53" s="1"/>
  <c r="D44" i="53"/>
  <c r="D46" i="53"/>
  <c r="K47" i="53" s="1"/>
  <c r="D22" i="53"/>
  <c r="N21" i="53" s="1"/>
  <c r="D21" i="53"/>
  <c r="K21" i="53" s="1"/>
  <c r="Q12" i="53"/>
  <c r="D47" i="53"/>
  <c r="N47" i="53" s="1"/>
  <c r="D64" i="53" l="1"/>
  <c r="K63" i="53" s="1"/>
  <c r="N58" i="53"/>
  <c r="N10" i="10"/>
  <c r="V23" i="45" l="1"/>
  <c r="V23" i="44"/>
  <c r="V23" i="23"/>
  <c r="V23" i="43"/>
  <c r="V22" i="43"/>
  <c r="V16" i="43"/>
  <c r="K7" i="24"/>
  <c r="X7" i="45"/>
  <c r="X22" i="45" s="1"/>
  <c r="X23" i="45" s="1"/>
  <c r="X7" i="44"/>
  <c r="X22" i="44" s="1"/>
  <c r="X23" i="44" s="1"/>
  <c r="X7" i="43"/>
  <c r="X23" i="43" s="1"/>
  <c r="E6" i="45"/>
  <c r="E6" i="44"/>
  <c r="J7" i="24"/>
  <c r="I7" i="24"/>
  <c r="E6" i="43"/>
  <c r="H7" i="24"/>
  <c r="M13" i="24"/>
  <c r="Q8" i="22"/>
  <c r="X8" i="22"/>
  <c r="X23" i="22" s="1"/>
  <c r="X7" i="12"/>
  <c r="X26" i="12" s="1"/>
  <c r="X27" i="12" s="1"/>
  <c r="C22" i="42"/>
  <c r="C22" i="36"/>
  <c r="C30" i="42"/>
  <c r="AR26" i="49"/>
  <c r="AR25" i="49"/>
  <c r="AR24" i="49"/>
  <c r="M42" i="49"/>
  <c r="V42" i="49" s="1"/>
  <c r="D30" i="25"/>
  <c r="C33" i="42"/>
  <c r="R3" i="40"/>
  <c r="Y3" i="40"/>
  <c r="R4" i="40"/>
  <c r="R5" i="40"/>
  <c r="R6" i="40"/>
  <c r="S6" i="40"/>
  <c r="Y6" i="40"/>
  <c r="R7" i="40"/>
  <c r="S7" i="40"/>
  <c r="R8" i="40"/>
  <c r="S8" i="40"/>
  <c r="T9" i="40"/>
  <c r="Y9" i="40"/>
  <c r="T10" i="40"/>
  <c r="T11" i="40"/>
  <c r="T12" i="40"/>
  <c r="Y12" i="40"/>
  <c r="T13" i="40"/>
  <c r="Y13" i="40"/>
  <c r="Y16" i="40"/>
  <c r="T17" i="40"/>
  <c r="U17" i="40"/>
  <c r="Y17" i="40"/>
  <c r="T18" i="40"/>
  <c r="U18" i="40"/>
  <c r="V23" i="40"/>
  <c r="X23" i="40"/>
  <c r="Y23" i="40"/>
  <c r="V24" i="40"/>
  <c r="X24" i="40"/>
  <c r="V25" i="40"/>
  <c r="X25" i="40"/>
  <c r="V26" i="40"/>
  <c r="X26" i="40"/>
  <c r="V27" i="40"/>
  <c r="X27" i="40"/>
  <c r="Y27" i="40"/>
  <c r="T28" i="40"/>
  <c r="U28" i="40"/>
  <c r="V28" i="40"/>
  <c r="W28" i="40"/>
  <c r="X28" i="40"/>
  <c r="Y28" i="40"/>
  <c r="T29" i="40"/>
  <c r="U29" i="40"/>
  <c r="V29" i="40"/>
  <c r="W29" i="40"/>
  <c r="X29" i="40"/>
  <c r="U30" i="40"/>
  <c r="V30" i="40"/>
  <c r="W30" i="40"/>
  <c r="X30" i="40"/>
  <c r="U31" i="40"/>
  <c r="V31" i="40"/>
  <c r="W31" i="40"/>
  <c r="X31" i="40"/>
  <c r="U32" i="40"/>
  <c r="V32" i="40"/>
  <c r="W32" i="40"/>
  <c r="X32" i="40"/>
  <c r="U33" i="40"/>
  <c r="V33" i="40"/>
  <c r="W33" i="40"/>
  <c r="X33" i="40"/>
  <c r="Y33" i="40"/>
  <c r="T34" i="40"/>
  <c r="X34" i="40"/>
  <c r="Y34" i="40"/>
  <c r="T35" i="40"/>
  <c r="X35" i="40"/>
  <c r="T36" i="40"/>
  <c r="X36" i="40"/>
  <c r="X37" i="40"/>
  <c r="Q17" i="22" l="1"/>
  <c r="Q11" i="22"/>
  <c r="Q29" i="22"/>
  <c r="Q10" i="22"/>
  <c r="X16" i="43"/>
  <c r="X25" i="43"/>
  <c r="X26" i="43" s="1"/>
  <c r="X22" i="43"/>
  <c r="D42" i="49"/>
  <c r="D19" i="49"/>
  <c r="AR23" i="49" s="1"/>
  <c r="AR28" i="49" s="1"/>
  <c r="D86" i="49"/>
  <c r="D89" i="49" s="1"/>
  <c r="D35" i="49"/>
  <c r="M27" i="49"/>
  <c r="V27" i="49" s="1"/>
  <c r="M24" i="49"/>
  <c r="V24" i="49" s="1"/>
  <c r="M22" i="49"/>
  <c r="M86" i="49" l="1"/>
  <c r="M87" i="49" s="1"/>
  <c r="AR29" i="49"/>
  <c r="AR31" i="49" s="1"/>
  <c r="D20" i="49" s="1"/>
  <c r="V20" i="49" s="1"/>
  <c r="U7" i="49"/>
  <c r="V22" i="49"/>
  <c r="D87" i="49"/>
  <c r="M35" i="49"/>
  <c r="M89" i="49" l="1"/>
  <c r="M20" i="49"/>
  <c r="D21" i="49"/>
  <c r="V86" i="49"/>
  <c r="V35" i="49"/>
  <c r="D50" i="49" l="1"/>
  <c r="D57" i="49" s="1"/>
  <c r="U8" i="49"/>
  <c r="D90" i="49"/>
  <c r="V89" i="49"/>
  <c r="V87" i="49"/>
  <c r="M19" i="49" l="1"/>
  <c r="M21" i="49" s="1"/>
  <c r="U9" i="49"/>
  <c r="M90" i="49" l="1"/>
  <c r="M50" i="49"/>
  <c r="M57" i="49" s="1"/>
  <c r="U10" i="49"/>
  <c r="U11" i="49" l="1"/>
  <c r="V19" i="49"/>
  <c r="V21" i="49" s="1"/>
  <c r="V50" i="49" s="1"/>
  <c r="V57" i="49" l="1"/>
  <c r="U13" i="49" s="1"/>
  <c r="U12" i="49"/>
  <c r="V90" i="49"/>
  <c r="E16" i="22"/>
  <c r="E15" i="22"/>
  <c r="I14" i="47"/>
  <c r="E15" i="47"/>
  <c r="E16" i="47"/>
  <c r="D35" i="47" s="1"/>
  <c r="D17" i="25"/>
  <c r="EO7" i="14"/>
  <c r="EO5" i="14"/>
  <c r="EO4" i="14"/>
  <c r="E14" i="47"/>
  <c r="E16" i="45"/>
  <c r="E15" i="45"/>
  <c r="E16" i="44"/>
  <c r="E15" i="44"/>
  <c r="E16" i="43"/>
  <c r="D32" i="43" s="1"/>
  <c r="E15" i="43"/>
  <c r="D25" i="24"/>
  <c r="I8" i="45"/>
  <c r="M11" i="45" s="1"/>
  <c r="M12" i="45" s="1"/>
  <c r="I7" i="45"/>
  <c r="M9" i="45" s="1"/>
  <c r="M10" i="45" s="1"/>
  <c r="X16" i="45"/>
  <c r="E14" i="45"/>
  <c r="B37" i="45" s="1"/>
  <c r="E10" i="45"/>
  <c r="B38" i="45" s="1"/>
  <c r="G38" i="45" s="1"/>
  <c r="X8" i="45"/>
  <c r="T7" i="45"/>
  <c r="T8" i="45" s="1"/>
  <c r="T22" i="45" s="1"/>
  <c r="T23" i="45" s="1"/>
  <c r="Q7" i="45"/>
  <c r="Q22" i="45" s="1"/>
  <c r="Q23" i="45" s="1"/>
  <c r="E10" i="43"/>
  <c r="B38" i="43" s="1"/>
  <c r="G38" i="43" s="1"/>
  <c r="E6" i="34"/>
  <c r="X7" i="34"/>
  <c r="X8" i="43"/>
  <c r="E14" i="44"/>
  <c r="B37" i="44" s="1"/>
  <c r="E10" i="44"/>
  <c r="B38" i="44" s="1"/>
  <c r="G38" i="44" s="1"/>
  <c r="X8" i="44"/>
  <c r="T7" i="44"/>
  <c r="T8" i="44" s="1"/>
  <c r="T22" i="44" s="1"/>
  <c r="T23" i="44" s="1"/>
  <c r="Q7" i="44"/>
  <c r="Q22" i="44" s="1"/>
  <c r="Q23" i="44" s="1"/>
  <c r="E14" i="34"/>
  <c r="W25" i="34" s="1"/>
  <c r="W26" i="34" s="1"/>
  <c r="E14" i="43"/>
  <c r="Q7" i="43"/>
  <c r="D32" i="44" l="1"/>
  <c r="P7" i="47"/>
  <c r="P10" i="47" s="1"/>
  <c r="D27" i="47"/>
  <c r="D28" i="47" s="1"/>
  <c r="Q26" i="43"/>
  <c r="Q28" i="43"/>
  <c r="Q31" i="43"/>
  <c r="Q20" i="43"/>
  <c r="Q10" i="43"/>
  <c r="Q17" i="43"/>
  <c r="Q16" i="43"/>
  <c r="Q23" i="47"/>
  <c r="Q18" i="47"/>
  <c r="Q26" i="47"/>
  <c r="Q9" i="47"/>
  <c r="Q19" i="47" s="1"/>
  <c r="Q10" i="47"/>
  <c r="Q17" i="47"/>
  <c r="Q23" i="43"/>
  <c r="B40" i="47"/>
  <c r="W26" i="47"/>
  <c r="W27" i="47" s="1"/>
  <c r="X25" i="34"/>
  <c r="X26" i="34" s="1"/>
  <c r="X23" i="34"/>
  <c r="X22" i="34"/>
  <c r="X16" i="34"/>
  <c r="B37" i="43"/>
  <c r="W25" i="43"/>
  <c r="W26" i="43" s="1"/>
  <c r="LM5" i="14"/>
  <c r="LM6" i="14"/>
  <c r="EO9" i="14"/>
  <c r="Q24" i="47"/>
  <c r="Q8" i="47"/>
  <c r="JY6" i="14"/>
  <c r="JY5" i="14"/>
  <c r="Q22" i="43"/>
  <c r="E11" i="45"/>
  <c r="E13" i="45" s="1"/>
  <c r="D32" i="45"/>
  <c r="Q31" i="45"/>
  <c r="Q8" i="45"/>
  <c r="T7" i="43"/>
  <c r="T8" i="43" s="1"/>
  <c r="T22" i="43" s="1"/>
  <c r="T23" i="43" s="1"/>
  <c r="X16" i="44"/>
  <c r="E11" i="44"/>
  <c r="E13" i="44" s="1"/>
  <c r="Q31" i="44"/>
  <c r="Q8" i="44"/>
  <c r="E11" i="43"/>
  <c r="E13" i="43" s="1"/>
  <c r="Q8" i="43"/>
  <c r="P9" i="47" l="1"/>
  <c r="P19" i="47" s="1"/>
  <c r="P18" i="47"/>
  <c r="X8" i="47"/>
  <c r="Q9" i="45"/>
  <c r="Q25" i="45"/>
  <c r="Q26" i="45" s="1"/>
  <c r="Q9" i="44"/>
  <c r="Q25" i="44"/>
  <c r="Q26" i="44" s="1"/>
  <c r="Q25" i="43"/>
  <c r="Q9" i="43"/>
  <c r="E23" i="22"/>
  <c r="H21" i="22"/>
  <c r="W10" i="10"/>
  <c r="I7" i="22" s="1"/>
  <c r="HQ7" i="14" s="1"/>
  <c r="U10" i="10"/>
  <c r="I9" i="44" s="1"/>
  <c r="U9" i="10"/>
  <c r="I8" i="44" s="1"/>
  <c r="U8" i="10"/>
  <c r="I7" i="44" s="1"/>
  <c r="W7" i="10"/>
  <c r="I6" i="22" s="1"/>
  <c r="M10" i="10"/>
  <c r="V10" i="10" s="1"/>
  <c r="E9" i="22" s="1"/>
  <c r="IK7" i="14" s="1"/>
  <c r="M9" i="10"/>
  <c r="V9" i="10" s="1"/>
  <c r="E7" i="22" s="1"/>
  <c r="IK6" i="14" s="1"/>
  <c r="M8" i="10"/>
  <c r="V8" i="10" s="1"/>
  <c r="E8" i="22" s="1"/>
  <c r="T12" i="22" s="1"/>
  <c r="T13" i="22" s="1"/>
  <c r="E16" i="37"/>
  <c r="E15" i="37"/>
  <c r="E15" i="13"/>
  <c r="E16" i="13"/>
  <c r="E16" i="34"/>
  <c r="E14" i="23"/>
  <c r="HQ4" i="14" l="1"/>
  <c r="I10" i="22"/>
  <c r="JE6" i="14"/>
  <c r="M11" i="44"/>
  <c r="M12" i="44" s="1"/>
  <c r="M13" i="44"/>
  <c r="M14" i="44" s="1"/>
  <c r="JE7" i="14"/>
  <c r="M9" i="44"/>
  <c r="M10" i="44" s="1"/>
  <c r="JE5" i="14"/>
  <c r="I7" i="47"/>
  <c r="I9" i="45"/>
  <c r="I6" i="45"/>
  <c r="I6" i="47"/>
  <c r="W36" i="40"/>
  <c r="W37" i="40"/>
  <c r="W34" i="40"/>
  <c r="W35" i="40"/>
  <c r="GW6" i="14"/>
  <c r="GW5" i="14"/>
  <c r="GW7" i="14"/>
  <c r="IK5" i="14"/>
  <c r="T10" i="22"/>
  <c r="T11" i="22" s="1"/>
  <c r="Q28" i="45"/>
  <c r="Q10" i="45"/>
  <c r="Q28" i="44"/>
  <c r="Q10" i="44"/>
  <c r="T14" i="22"/>
  <c r="T15" i="22" s="1"/>
  <c r="X9" i="22"/>
  <c r="X26" i="22" s="1"/>
  <c r="X24" i="22"/>
  <c r="P37" i="45" l="1"/>
  <c r="I10" i="47"/>
  <c r="M7" i="47"/>
  <c r="M8" i="47" s="1"/>
  <c r="KS4" i="14"/>
  <c r="LM7" i="14"/>
  <c r="KS7" i="14"/>
  <c r="M9" i="47"/>
  <c r="M10" i="47" s="1"/>
  <c r="M13" i="45"/>
  <c r="M14" i="45" s="1"/>
  <c r="JY7" i="14"/>
  <c r="M7" i="45"/>
  <c r="M8" i="45" s="1"/>
  <c r="JY4" i="14"/>
  <c r="I10" i="45"/>
  <c r="LM4" i="14"/>
  <c r="Q11" i="45"/>
  <c r="Q12" i="45" s="1"/>
  <c r="Q16" i="45"/>
  <c r="Q11" i="44"/>
  <c r="Q12" i="44" s="1"/>
  <c r="Q16" i="44"/>
  <c r="X12" i="22"/>
  <c r="X10" i="22"/>
  <c r="X11" i="22" s="1"/>
  <c r="X27" i="22" s="1"/>
  <c r="G6" i="42"/>
  <c r="C6" i="42"/>
  <c r="GC7" i="14"/>
  <c r="GC6" i="14"/>
  <c r="T37" i="40" l="1"/>
  <c r="P38" i="45"/>
  <c r="P39" i="45" s="1"/>
  <c r="P40" i="45" s="1"/>
  <c r="Q27" i="47"/>
  <c r="KD7" i="14"/>
  <c r="LR7" i="14"/>
  <c r="B38" i="47"/>
  <c r="I11" i="47"/>
  <c r="G38" i="47"/>
  <c r="KX4" i="14"/>
  <c r="KX6" i="14"/>
  <c r="KX5" i="14"/>
  <c r="B35" i="45"/>
  <c r="I11" i="45"/>
  <c r="G35" i="45"/>
  <c r="KX7" i="14"/>
  <c r="KD4" i="14"/>
  <c r="KD6" i="14"/>
  <c r="KD5" i="14"/>
  <c r="LR5" i="14"/>
  <c r="LR4" i="14"/>
  <c r="LR6" i="14"/>
  <c r="Q13" i="45"/>
  <c r="Q14" i="45" s="1"/>
  <c r="Q20" i="45" s="1"/>
  <c r="Q18" i="45"/>
  <c r="Q17" i="45"/>
  <c r="Q13" i="44"/>
  <c r="Q14" i="44" s="1"/>
  <c r="Q19" i="44"/>
  <c r="Q17" i="44"/>
  <c r="Q18" i="44" s="1"/>
  <c r="X13" i="22"/>
  <c r="Q19" i="45" l="1"/>
  <c r="Q20" i="44"/>
  <c r="X14" i="22"/>
  <c r="X17" i="22"/>
  <c r="G8" i="24"/>
  <c r="M8" i="24" s="1"/>
  <c r="G7" i="24"/>
  <c r="M7" i="24" s="1"/>
  <c r="I6" i="34" l="1"/>
  <c r="X15" i="22"/>
  <c r="X18" i="22"/>
  <c r="X19" i="22"/>
  <c r="X21" i="22" s="1"/>
  <c r="F7" i="24"/>
  <c r="I9" i="13"/>
  <c r="E7" i="14" s="1"/>
  <c r="I8" i="13"/>
  <c r="I7" i="13"/>
  <c r="G6" i="36"/>
  <c r="P37" i="34" l="1"/>
  <c r="P38" i="34" s="1"/>
  <c r="I6" i="43" s="1"/>
  <c r="E5" i="14"/>
  <c r="M10" i="13"/>
  <c r="M11" i="13" s="1"/>
  <c r="E6" i="14"/>
  <c r="M12" i="13"/>
  <c r="M13" i="13" s="1"/>
  <c r="X20" i="22"/>
  <c r="C6" i="36"/>
  <c r="D35" i="36" s="1"/>
  <c r="P37" i="43" l="1"/>
  <c r="P39" i="34"/>
  <c r="S6" i="10"/>
  <c r="P7" i="10"/>
  <c r="I6" i="2" s="1"/>
  <c r="Q7" i="10"/>
  <c r="O7" i="24" s="1"/>
  <c r="E6" i="23" s="1"/>
  <c r="U7" i="10"/>
  <c r="P8" i="10"/>
  <c r="I7" i="2" s="1"/>
  <c r="M9" i="2" s="1"/>
  <c r="M10" i="2" s="1"/>
  <c r="T9" i="10"/>
  <c r="K8" i="10"/>
  <c r="J5" i="10"/>
  <c r="S5" i="10" s="1"/>
  <c r="I8" i="10"/>
  <c r="I7" i="10"/>
  <c r="D39" i="10"/>
  <c r="P40" i="34" l="1"/>
  <c r="P38" i="43"/>
  <c r="P39" i="43" s="1"/>
  <c r="P40" i="43" s="1"/>
  <c r="K7" i="10"/>
  <c r="M7" i="2"/>
  <c r="I10" i="2"/>
  <c r="I6" i="23"/>
  <c r="I6" i="13"/>
  <c r="R7" i="10"/>
  <c r="T14" i="40"/>
  <c r="T20" i="40"/>
  <c r="T19" i="40"/>
  <c r="T16" i="40"/>
  <c r="T15" i="40"/>
  <c r="E6" i="37"/>
  <c r="E10" i="37" s="1"/>
  <c r="E6" i="47"/>
  <c r="E10" i="47" s="1"/>
  <c r="EY6" i="14"/>
  <c r="C32" i="42"/>
  <c r="C34" i="42" s="1"/>
  <c r="AE10" i="10" s="1"/>
  <c r="C10" i="42"/>
  <c r="E8" i="13"/>
  <c r="BM6" i="14" s="1"/>
  <c r="T8" i="10"/>
  <c r="E7" i="13" s="1"/>
  <c r="U22" i="40"/>
  <c r="U25" i="40"/>
  <c r="U26" i="40"/>
  <c r="U27" i="40"/>
  <c r="U21" i="40"/>
  <c r="I7" i="37"/>
  <c r="I6" i="12"/>
  <c r="I6" i="37"/>
  <c r="I7" i="12"/>
  <c r="U16" i="40"/>
  <c r="U19" i="40"/>
  <c r="U20" i="40"/>
  <c r="U15" i="40"/>
  <c r="U14" i="40"/>
  <c r="R8" i="10"/>
  <c r="D5" i="11"/>
  <c r="D4" i="11"/>
  <c r="I10" i="12" l="1"/>
  <c r="T27" i="40"/>
  <c r="T22" i="40"/>
  <c r="T21" i="40"/>
  <c r="T25" i="40"/>
  <c r="T26" i="40"/>
  <c r="T7" i="10"/>
  <c r="M8" i="2"/>
  <c r="BM5" i="14"/>
  <c r="T10" i="13"/>
  <c r="T11" i="13" s="1"/>
  <c r="AC4" i="11"/>
  <c r="M8" i="13"/>
  <c r="I10" i="13"/>
  <c r="AB10" i="10"/>
  <c r="W10" i="24"/>
  <c r="G11" i="42"/>
  <c r="GC5" i="14" s="1"/>
  <c r="N4" i="3"/>
  <c r="M7" i="12"/>
  <c r="M8" i="12" s="1"/>
  <c r="E4" i="14"/>
  <c r="N5" i="3"/>
  <c r="M9" i="12"/>
  <c r="M10" i="12" s="1"/>
  <c r="T7" i="47"/>
  <c r="T8" i="47" s="1"/>
  <c r="EO6" i="14"/>
  <c r="D39" i="36"/>
  <c r="D35" i="37"/>
  <c r="Q8" i="37"/>
  <c r="Q24" i="37" s="1"/>
  <c r="E15" i="34"/>
  <c r="E6" i="13" l="1"/>
  <c r="G10" i="42"/>
  <c r="GC4" i="14" s="1"/>
  <c r="GH5" i="14" s="1"/>
  <c r="GH6" i="14"/>
  <c r="AC5" i="11"/>
  <c r="AH5" i="11" s="1"/>
  <c r="GH4" i="14"/>
  <c r="GH7" i="14"/>
  <c r="B41" i="47"/>
  <c r="G41" i="47" s="1"/>
  <c r="E11" i="47"/>
  <c r="G10" i="36"/>
  <c r="FI4" i="14" s="1"/>
  <c r="D37" i="36"/>
  <c r="D44" i="36"/>
  <c r="D38" i="36"/>
  <c r="D36" i="36"/>
  <c r="D43" i="36"/>
  <c r="D34" i="36"/>
  <c r="D42" i="36"/>
  <c r="D33" i="36"/>
  <c r="D41" i="36"/>
  <c r="D40" i="36"/>
  <c r="Q9" i="37"/>
  <c r="Q10" i="37" s="1"/>
  <c r="Q11" i="37" s="1"/>
  <c r="Q17" i="37" s="1"/>
  <c r="Q19" i="37" s="1"/>
  <c r="Q23" i="37"/>
  <c r="Q26" i="37" s="1"/>
  <c r="Q27" i="37" s="1"/>
  <c r="BM4" i="14" l="1"/>
  <c r="DU4" i="14"/>
  <c r="E10" i="13"/>
  <c r="AH4" i="11"/>
  <c r="D47" i="36"/>
  <c r="Q18" i="37"/>
  <c r="J38" i="36" l="1"/>
  <c r="C8" i="36"/>
  <c r="J35" i="36"/>
  <c r="J33" i="36"/>
  <c r="J44" i="36"/>
  <c r="J41" i="36"/>
  <c r="J34" i="36"/>
  <c r="J42" i="36"/>
  <c r="J43" i="36"/>
  <c r="J40" i="36"/>
  <c r="J39" i="36"/>
  <c r="J36" i="36"/>
  <c r="J37" i="36"/>
  <c r="J47" i="36" l="1"/>
  <c r="C9" i="36" s="1"/>
  <c r="X7" i="11" s="1"/>
  <c r="X9" i="11" s="1"/>
  <c r="X10" i="11" s="1"/>
  <c r="D29" i="25"/>
  <c r="D8" i="25"/>
  <c r="X43" i="11" l="1"/>
  <c r="X37" i="11"/>
  <c r="X28" i="11"/>
  <c r="X26" i="11"/>
  <c r="X22" i="11"/>
  <c r="X12" i="11"/>
  <c r="X42" i="11"/>
  <c r="X13" i="11"/>
  <c r="X14" i="11"/>
  <c r="X38" i="11"/>
  <c r="X39" i="11"/>
  <c r="X33" i="11"/>
  <c r="X24" i="11"/>
  <c r="X18" i="11"/>
  <c r="X27" i="11"/>
  <c r="X29" i="11"/>
  <c r="X30" i="11"/>
  <c r="X41" i="11"/>
  <c r="X32" i="11"/>
  <c r="X35" i="11"/>
  <c r="X25" i="11"/>
  <c r="X20" i="11"/>
  <c r="X34" i="11"/>
  <c r="X17" i="11"/>
  <c r="X23" i="11"/>
  <c r="X19" i="11"/>
  <c r="X31" i="11"/>
  <c r="X21" i="11"/>
  <c r="X16" i="11"/>
  <c r="X44" i="11"/>
  <c r="X40" i="11"/>
  <c r="X36" i="11"/>
  <c r="X15" i="11"/>
  <c r="E6" i="12"/>
  <c r="X46" i="11" l="1"/>
  <c r="X4" i="11" s="1"/>
  <c r="C10" i="36"/>
  <c r="E11" i="37"/>
  <c r="BM7" i="14"/>
  <c r="DU7" i="14"/>
  <c r="Y7" i="14"/>
  <c r="G11" i="36"/>
  <c r="FI5" i="14" s="1"/>
  <c r="E7" i="12"/>
  <c r="E10" i="12" s="1"/>
  <c r="C14" i="36" l="1"/>
  <c r="C16" i="36" s="1"/>
  <c r="M10" i="22"/>
  <c r="M11" i="22" s="1"/>
  <c r="T8" i="37"/>
  <c r="T9" i="37" s="1"/>
  <c r="B41" i="37"/>
  <c r="G41" i="37" s="1"/>
  <c r="FD5" i="14"/>
  <c r="FD7" i="14"/>
  <c r="FD4" i="14"/>
  <c r="FD6" i="14"/>
  <c r="FI6" i="14"/>
  <c r="FI7" i="14"/>
  <c r="CG5" i="14"/>
  <c r="DA5" i="14"/>
  <c r="T9" i="12"/>
  <c r="B37" i="34"/>
  <c r="E10" i="34"/>
  <c r="B38" i="34" s="1"/>
  <c r="G38" i="34" s="1"/>
  <c r="X8" i="34"/>
  <c r="T7" i="34"/>
  <c r="T8" i="34" s="1"/>
  <c r="T22" i="34" s="1"/>
  <c r="T23" i="34" s="1"/>
  <c r="Q7" i="34"/>
  <c r="X26" i="13"/>
  <c r="D11" i="25"/>
  <c r="K3" i="25" s="1"/>
  <c r="D23" i="25"/>
  <c r="P37" i="23"/>
  <c r="P38" i="23" l="1"/>
  <c r="P39" i="23" s="1"/>
  <c r="Q16" i="34"/>
  <c r="Q26" i="34"/>
  <c r="Q28" i="34"/>
  <c r="Q31" i="34"/>
  <c r="Q10" i="34"/>
  <c r="X27" i="13"/>
  <c r="Q23" i="34"/>
  <c r="ET5" i="14"/>
  <c r="ET6" i="14"/>
  <c r="ET4" i="14"/>
  <c r="ET7" i="14"/>
  <c r="FN6" i="14"/>
  <c r="FN7" i="14"/>
  <c r="FN5" i="14"/>
  <c r="FN4" i="14"/>
  <c r="Q8" i="34"/>
  <c r="Q25" i="34" s="1"/>
  <c r="Q22" i="34"/>
  <c r="E11" i="34"/>
  <c r="E13" i="34" s="1"/>
  <c r="D32" i="34"/>
  <c r="P40" i="23" l="1"/>
  <c r="Q9" i="34"/>
  <c r="Q7" i="23"/>
  <c r="L22" i="25"/>
  <c r="J54" i="25"/>
  <c r="Q17" i="34" l="1"/>
  <c r="Q20" i="34" s="1"/>
  <c r="U58" i="25"/>
  <c r="J86" i="25"/>
  <c r="J64" i="25"/>
  <c r="J78" i="25"/>
  <c r="J84" i="25"/>
  <c r="J80" i="25"/>
  <c r="J104" i="25"/>
  <c r="J88" i="25"/>
  <c r="J56" i="25"/>
  <c r="J100" i="25"/>
  <c r="J60" i="25"/>
  <c r="J102" i="25"/>
  <c r="J62" i="25"/>
  <c r="J68" i="25"/>
  <c r="J53" i="25"/>
  <c r="J92" i="25"/>
  <c r="J70" i="25"/>
  <c r="J48" i="25"/>
  <c r="J94" i="25"/>
  <c r="J72" i="25"/>
  <c r="J52" i="25"/>
  <c r="J96" i="25"/>
  <c r="J76" i="25"/>
  <c r="J103" i="25"/>
  <c r="J95" i="25"/>
  <c r="J87" i="25"/>
  <c r="J79" i="25"/>
  <c r="J71" i="25"/>
  <c r="J63" i="25"/>
  <c r="J55" i="25"/>
  <c r="J47" i="25"/>
  <c r="J46" i="25"/>
  <c r="J97" i="25"/>
  <c r="J89" i="25"/>
  <c r="J81" i="25"/>
  <c r="J73" i="25"/>
  <c r="J65" i="25"/>
  <c r="J57" i="25"/>
  <c r="J49" i="25"/>
  <c r="J98" i="25"/>
  <c r="J90" i="25"/>
  <c r="J82" i="25"/>
  <c r="J74" i="25"/>
  <c r="J66" i="25"/>
  <c r="J58" i="25"/>
  <c r="J50" i="25"/>
  <c r="J99" i="25"/>
  <c r="J91" i="25"/>
  <c r="J83" i="25"/>
  <c r="J75" i="25"/>
  <c r="J67" i="25"/>
  <c r="J59" i="25"/>
  <c r="J51" i="25"/>
  <c r="J101" i="25"/>
  <c r="J93" i="25"/>
  <c r="J85" i="25"/>
  <c r="J77" i="25"/>
  <c r="J69" i="25"/>
  <c r="J61" i="25"/>
  <c r="U49" i="25"/>
  <c r="D14" i="25" l="1"/>
  <c r="G16" i="25" s="1"/>
  <c r="U43" i="25"/>
  <c r="U52" i="25"/>
  <c r="U44" i="25"/>
  <c r="U50" i="25"/>
  <c r="U41" i="25"/>
  <c r="U51" i="25"/>
  <c r="U53" i="25"/>
  <c r="U45" i="25"/>
  <c r="U54" i="25"/>
  <c r="U46" i="25"/>
  <c r="U55" i="25"/>
  <c r="U47" i="25"/>
  <c r="U42" i="25"/>
  <c r="U56" i="25"/>
  <c r="U48" i="25"/>
  <c r="U57" i="25"/>
  <c r="I14" i="12"/>
  <c r="D6" i="25"/>
  <c r="D4" i="25"/>
  <c r="E15" i="23"/>
  <c r="N7" i="3" l="1"/>
  <c r="P7" i="12"/>
  <c r="D27" i="12"/>
  <c r="D28" i="12" s="1"/>
  <c r="D28" i="25"/>
  <c r="D9" i="25"/>
  <c r="D23" i="10"/>
  <c r="P17" i="12" l="1"/>
  <c r="P18" i="12"/>
  <c r="P19" i="12"/>
  <c r="P23" i="12"/>
  <c r="P24" i="12"/>
  <c r="X11" i="40"/>
  <c r="X10" i="40"/>
  <c r="X13" i="40"/>
  <c r="X9" i="40"/>
  <c r="X12" i="40"/>
  <c r="O13" i="24"/>
  <c r="X8" i="37" s="1"/>
  <c r="C7" i="36"/>
  <c r="D15" i="25"/>
  <c r="D25" i="25"/>
  <c r="X26" i="37" l="1"/>
  <c r="X27" i="37" s="1"/>
  <c r="X17" i="37"/>
  <c r="X23" i="37" s="1"/>
  <c r="X24" i="37" s="1"/>
  <c r="X9" i="37"/>
  <c r="X7" i="23"/>
  <c r="X16" i="23" l="1"/>
  <c r="X22" i="23"/>
  <c r="X23" i="23" s="1"/>
  <c r="D32" i="23"/>
  <c r="D35" i="22"/>
  <c r="Q9" i="22"/>
  <c r="Q22" i="23"/>
  <c r="Q23" i="23" s="1"/>
  <c r="X8" i="23"/>
  <c r="N4" i="11" l="1"/>
  <c r="Q26" i="22"/>
  <c r="Q27" i="22" s="1"/>
  <c r="Q24" i="22"/>
  <c r="Q23" i="22"/>
  <c r="Q8" i="23"/>
  <c r="Q31" i="23"/>
  <c r="E23" i="13"/>
  <c r="W37" i="13" s="1"/>
  <c r="H21" i="13"/>
  <c r="E23" i="12"/>
  <c r="H21" i="12"/>
  <c r="E23" i="2"/>
  <c r="H21" i="2"/>
  <c r="M7" i="43" l="1"/>
  <c r="M8" i="43" s="1"/>
  <c r="I7" i="34"/>
  <c r="I10" i="34" s="1"/>
  <c r="I7" i="43"/>
  <c r="D31" i="25"/>
  <c r="Q9" i="23"/>
  <c r="Q25" i="23"/>
  <c r="Q26" i="23" s="1"/>
  <c r="M9" i="43" l="1"/>
  <c r="M10" i="43" s="1"/>
  <c r="I10" i="43"/>
  <c r="AE11" i="10"/>
  <c r="N5" i="11"/>
  <c r="M9" i="34"/>
  <c r="Q19" i="22"/>
  <c r="Q21" i="22" s="1"/>
  <c r="Q10" i="23"/>
  <c r="Q16" i="23" s="1"/>
  <c r="Q17" i="23" s="1"/>
  <c r="Q28" i="23"/>
  <c r="O5" i="10"/>
  <c r="AB11" i="10" l="1"/>
  <c r="W11" i="24"/>
  <c r="G35" i="43"/>
  <c r="I11" i="43"/>
  <c r="B35" i="43"/>
  <c r="M8" i="37"/>
  <c r="M9" i="37" s="1"/>
  <c r="Q18" i="22"/>
  <c r="Q20" i="22" s="1"/>
  <c r="I8" i="23"/>
  <c r="AS6" i="14" s="1"/>
  <c r="I9" i="23"/>
  <c r="M13" i="23" s="1"/>
  <c r="M14" i="23" s="1"/>
  <c r="I7" i="23"/>
  <c r="M9" i="23" s="1"/>
  <c r="M10" i="23" s="1"/>
  <c r="M10" i="34"/>
  <c r="M7" i="34"/>
  <c r="M8" i="34" s="1"/>
  <c r="Q11" i="23"/>
  <c r="Q12" i="23" s="1"/>
  <c r="Q18" i="23" s="1"/>
  <c r="Q19" i="23" s="1"/>
  <c r="Q8" i="13"/>
  <c r="Q37" i="13" s="1"/>
  <c r="X9" i="13"/>
  <c r="I14" i="13"/>
  <c r="E15" i="12"/>
  <c r="E15" i="2"/>
  <c r="D35" i="13"/>
  <c r="E16" i="12"/>
  <c r="D35" i="12" s="1"/>
  <c r="E16" i="2"/>
  <c r="D35" i="2" s="1"/>
  <c r="DU6" i="14"/>
  <c r="X8" i="12"/>
  <c r="X7" i="2"/>
  <c r="E14" i="2"/>
  <c r="W26" i="2" s="1"/>
  <c r="W27" i="2" s="1"/>
  <c r="I14" i="2"/>
  <c r="P7" i="2" l="1"/>
  <c r="P17" i="2" s="1"/>
  <c r="D27" i="2"/>
  <c r="D28" i="2" s="1"/>
  <c r="P8" i="13"/>
  <c r="P20" i="13" s="1"/>
  <c r="P37" i="13"/>
  <c r="X10" i="13"/>
  <c r="X11" i="13" s="1"/>
  <c r="X12" i="13" s="1"/>
  <c r="X13" i="13" s="1"/>
  <c r="X21" i="13"/>
  <c r="Q23" i="13"/>
  <c r="Q26" i="13" s="1"/>
  <c r="Q27" i="13" s="1"/>
  <c r="Q24" i="13"/>
  <c r="X17" i="2"/>
  <c r="X23" i="2" s="1"/>
  <c r="X24" i="2" s="1"/>
  <c r="X26" i="2"/>
  <c r="X27" i="2" s="1"/>
  <c r="Q20" i="13"/>
  <c r="D7" i="11"/>
  <c r="Y5" i="40"/>
  <c r="HV5" i="14"/>
  <c r="HV4" i="14"/>
  <c r="HV7" i="14"/>
  <c r="HV6" i="14"/>
  <c r="B38" i="12"/>
  <c r="X5" i="3"/>
  <c r="X4" i="3"/>
  <c r="Q9" i="13"/>
  <c r="Q14" i="13"/>
  <c r="Q17" i="13"/>
  <c r="DU5" i="14"/>
  <c r="X9" i="12"/>
  <c r="X10" i="12" s="1"/>
  <c r="AS7" i="14"/>
  <c r="M11" i="23"/>
  <c r="M12" i="23" s="1"/>
  <c r="AS5" i="14"/>
  <c r="I11" i="34"/>
  <c r="T7" i="23"/>
  <c r="T8" i="23" s="1"/>
  <c r="T22" i="23" s="1"/>
  <c r="T23" i="23" s="1"/>
  <c r="E10" i="23"/>
  <c r="D27" i="13"/>
  <c r="D28" i="13" s="1"/>
  <c r="Q13" i="23"/>
  <c r="Q14" i="23" s="1"/>
  <c r="Q20" i="23" s="1"/>
  <c r="Q27" i="12"/>
  <c r="M8" i="22"/>
  <c r="M9" i="22" s="1"/>
  <c r="T12" i="13"/>
  <c r="T13" i="13" s="1"/>
  <c r="E9" i="14"/>
  <c r="T11" i="14" s="1"/>
  <c r="T12" i="14" s="1"/>
  <c r="M14" i="13"/>
  <c r="M15" i="13" s="1"/>
  <c r="Y5" i="14"/>
  <c r="Y6" i="14"/>
  <c r="T8" i="13"/>
  <c r="T9" i="13" s="1"/>
  <c r="Y4" i="14"/>
  <c r="E6" i="2"/>
  <c r="X8" i="2"/>
  <c r="P24" i="13" l="1"/>
  <c r="P23" i="13"/>
  <c r="P18" i="2"/>
  <c r="P23" i="2"/>
  <c r="P14" i="13"/>
  <c r="P12" i="13" s="1"/>
  <c r="P24" i="2"/>
  <c r="AH4" i="3"/>
  <c r="AM5" i="3" s="1"/>
  <c r="E10" i="2"/>
  <c r="Q18" i="13"/>
  <c r="Q21" i="13"/>
  <c r="X17" i="13"/>
  <c r="X18" i="13" s="1"/>
  <c r="X23" i="13" s="1"/>
  <c r="Q19" i="13"/>
  <c r="Q12" i="13"/>
  <c r="X17" i="12"/>
  <c r="X18" i="12" s="1"/>
  <c r="Q8" i="2"/>
  <c r="Q9" i="2" s="1"/>
  <c r="M10" i="37"/>
  <c r="M11" i="37" s="1"/>
  <c r="I10" i="37"/>
  <c r="I11" i="37" s="1"/>
  <c r="Q28" i="13"/>
  <c r="Q29" i="13" s="1"/>
  <c r="S5" i="11"/>
  <c r="X19" i="13"/>
  <c r="DZ6" i="14"/>
  <c r="BR6" i="14"/>
  <c r="BR4" i="14"/>
  <c r="BR7" i="14"/>
  <c r="BR5" i="14"/>
  <c r="AD6" i="14"/>
  <c r="AD4" i="14"/>
  <c r="AD5" i="14"/>
  <c r="AD7" i="14"/>
  <c r="DZ4" i="14"/>
  <c r="DZ7" i="14"/>
  <c r="DZ5" i="14"/>
  <c r="DA4" i="14"/>
  <c r="E11" i="12"/>
  <c r="CG4" i="14"/>
  <c r="G35" i="34"/>
  <c r="B38" i="23"/>
  <c r="G38" i="23" s="1"/>
  <c r="E11" i="23"/>
  <c r="E13" i="23" s="1"/>
  <c r="B35" i="34"/>
  <c r="T21" i="14"/>
  <c r="T29" i="14"/>
  <c r="T14" i="14"/>
  <c r="T20" i="14"/>
  <c r="T28" i="14"/>
  <c r="T36" i="14"/>
  <c r="T22" i="14"/>
  <c r="T19" i="14"/>
  <c r="T27" i="14"/>
  <c r="T35" i="14"/>
  <c r="T18" i="14"/>
  <c r="T26" i="14"/>
  <c r="T34" i="14"/>
  <c r="T30" i="14"/>
  <c r="T17" i="14"/>
  <c r="T25" i="14"/>
  <c r="T33" i="14"/>
  <c r="T16" i="14"/>
  <c r="T24" i="14"/>
  <c r="T32" i="14"/>
  <c r="T15" i="14"/>
  <c r="T23" i="14"/>
  <c r="T31" i="14"/>
  <c r="I11" i="22"/>
  <c r="B38" i="22"/>
  <c r="G38" i="22"/>
  <c r="S4" i="11"/>
  <c r="Q15" i="13"/>
  <c r="T10" i="12"/>
  <c r="T7" i="12"/>
  <c r="T8" i="12" s="1"/>
  <c r="E11" i="13"/>
  <c r="B41" i="13"/>
  <c r="G41" i="13" s="1"/>
  <c r="T7" i="2"/>
  <c r="T8" i="2" s="1"/>
  <c r="G38" i="12"/>
  <c r="I11" i="12"/>
  <c r="B41" i="2"/>
  <c r="G41" i="2" s="1"/>
  <c r="B40" i="2"/>
  <c r="S4" i="3"/>
  <c r="D4" i="3"/>
  <c r="I5" i="3" s="1"/>
  <c r="D7" i="3"/>
  <c r="I9" i="3" s="1"/>
  <c r="I10" i="3" s="1"/>
  <c r="P19" i="13" l="1"/>
  <c r="M19" i="13" s="1"/>
  <c r="AM4" i="3"/>
  <c r="Q10" i="2"/>
  <c r="Q19" i="2"/>
  <c r="X23" i="12"/>
  <c r="X24" i="12" s="1"/>
  <c r="X19" i="12"/>
  <c r="Q13" i="13"/>
  <c r="Q10" i="13"/>
  <c r="Q11" i="13" s="1"/>
  <c r="P10" i="13"/>
  <c r="P11" i="13" s="1"/>
  <c r="P13" i="13"/>
  <c r="Q8" i="12"/>
  <c r="Q9" i="12" s="1"/>
  <c r="Q10" i="12" s="1"/>
  <c r="X24" i="13"/>
  <c r="Q18" i="2"/>
  <c r="M17" i="2"/>
  <c r="B38" i="37"/>
  <c r="G38" i="37"/>
  <c r="DF5" i="14"/>
  <c r="DF7" i="14"/>
  <c r="DF4" i="14"/>
  <c r="DF6" i="14"/>
  <c r="CL5" i="14"/>
  <c r="CL4" i="14"/>
  <c r="I14" i="3"/>
  <c r="I22" i="3"/>
  <c r="I30" i="3"/>
  <c r="I38" i="3"/>
  <c r="I13" i="3"/>
  <c r="I21" i="3"/>
  <c r="I29" i="3"/>
  <c r="I37" i="3"/>
  <c r="I31" i="3"/>
  <c r="I20" i="3"/>
  <c r="I28" i="3"/>
  <c r="I36" i="3"/>
  <c r="I19" i="3"/>
  <c r="I27" i="3"/>
  <c r="I35" i="3"/>
  <c r="I39" i="3"/>
  <c r="I18" i="3"/>
  <c r="I26" i="3"/>
  <c r="I34" i="3"/>
  <c r="I17" i="3"/>
  <c r="I25" i="3"/>
  <c r="I33" i="3"/>
  <c r="I12" i="3"/>
  <c r="I15" i="3"/>
  <c r="I16" i="3"/>
  <c r="I24" i="3"/>
  <c r="I32" i="3"/>
  <c r="I40" i="3"/>
  <c r="I23" i="3"/>
  <c r="B41" i="12"/>
  <c r="G41" i="12" s="1"/>
  <c r="I5" i="11"/>
  <c r="I4" i="11"/>
  <c r="G37" i="2"/>
  <c r="S9" i="3"/>
  <c r="S10" i="3" s="1"/>
  <c r="B38" i="2"/>
  <c r="G38" i="2"/>
  <c r="S5" i="3"/>
  <c r="I4" i="3"/>
  <c r="AC5" i="3"/>
  <c r="D9" i="3"/>
  <c r="D10" i="3" s="1"/>
  <c r="M18" i="2" l="1"/>
  <c r="M23" i="2" s="1"/>
  <c r="D29" i="2" s="1"/>
  <c r="C31" i="2" s="1"/>
  <c r="P8" i="2"/>
  <c r="P9" i="2" s="1"/>
  <c r="S14" i="3"/>
  <c r="S22" i="3"/>
  <c r="S30" i="3"/>
  <c r="S38" i="3"/>
  <c r="S13" i="3"/>
  <c r="S21" i="3"/>
  <c r="S29" i="3"/>
  <c r="S37" i="3"/>
  <c r="S23" i="3"/>
  <c r="S20" i="3"/>
  <c r="S28" i="3"/>
  <c r="S36" i="3"/>
  <c r="S15" i="3"/>
  <c r="S19" i="3"/>
  <c r="S27" i="3"/>
  <c r="S35" i="3"/>
  <c r="S31" i="3"/>
  <c r="S18" i="3"/>
  <c r="S26" i="3"/>
  <c r="S34" i="3"/>
  <c r="S17" i="3"/>
  <c r="S25" i="3"/>
  <c r="S33" i="3"/>
  <c r="S12" i="3"/>
  <c r="S16" i="3"/>
  <c r="S24" i="3"/>
  <c r="S32" i="3"/>
  <c r="S40" i="3"/>
  <c r="S39" i="3"/>
  <c r="D17" i="3"/>
  <c r="D25" i="3"/>
  <c r="D33" i="3"/>
  <c r="D41" i="3"/>
  <c r="D18" i="3"/>
  <c r="D16" i="3"/>
  <c r="D24" i="3"/>
  <c r="D32" i="3"/>
  <c r="D40" i="3"/>
  <c r="D42" i="3"/>
  <c r="D15" i="3"/>
  <c r="D23" i="3"/>
  <c r="D31" i="3"/>
  <c r="D39" i="3"/>
  <c r="D12" i="3"/>
  <c r="D14" i="3"/>
  <c r="D22" i="3"/>
  <c r="D30" i="3"/>
  <c r="D38" i="3"/>
  <c r="D46" i="3"/>
  <c r="D13" i="3"/>
  <c r="D21" i="3"/>
  <c r="D29" i="3"/>
  <c r="D37" i="3"/>
  <c r="D45" i="3"/>
  <c r="D26" i="3"/>
  <c r="D20" i="3"/>
  <c r="D28" i="3"/>
  <c r="D36" i="3"/>
  <c r="D44" i="3"/>
  <c r="D34" i="3"/>
  <c r="D19" i="3"/>
  <c r="D27" i="3"/>
  <c r="D35" i="3"/>
  <c r="D43" i="3"/>
  <c r="T48" i="14"/>
  <c r="N9" i="3"/>
  <c r="N10" i="3" s="1"/>
  <c r="I48" i="3"/>
  <c r="AC4" i="3"/>
  <c r="M19" i="2" l="1"/>
  <c r="P10" i="2"/>
  <c r="P19" i="2"/>
  <c r="M24" i="2"/>
  <c r="N17" i="3"/>
  <c r="N25" i="3"/>
  <c r="N33" i="3"/>
  <c r="N41" i="3"/>
  <c r="N16" i="3"/>
  <c r="N24" i="3"/>
  <c r="N32" i="3"/>
  <c r="N40" i="3"/>
  <c r="N34" i="3"/>
  <c r="N15" i="3"/>
  <c r="N23" i="3"/>
  <c r="N31" i="3"/>
  <c r="N39" i="3"/>
  <c r="N12" i="3"/>
  <c r="N42" i="3"/>
  <c r="N14" i="3"/>
  <c r="N22" i="3"/>
  <c r="N30" i="3"/>
  <c r="N38" i="3"/>
  <c r="N46" i="3"/>
  <c r="N13" i="3"/>
  <c r="N21" i="3"/>
  <c r="N29" i="3"/>
  <c r="N37" i="3"/>
  <c r="N45" i="3"/>
  <c r="N26" i="3"/>
  <c r="N20" i="3"/>
  <c r="N28" i="3"/>
  <c r="N36" i="3"/>
  <c r="N44" i="3"/>
  <c r="N18" i="3"/>
  <c r="N19" i="3"/>
  <c r="N27" i="3"/>
  <c r="N35" i="3"/>
  <c r="N43" i="3"/>
  <c r="I11" i="2"/>
  <c r="E11" i="2"/>
  <c r="M32" i="2" l="1"/>
  <c r="M33" i="2"/>
  <c r="M34" i="2"/>
  <c r="M35" i="2" s="1"/>
  <c r="D48" i="3"/>
  <c r="I7" i="3" s="1"/>
  <c r="E13" i="37" s="1"/>
  <c r="N48" i="3"/>
  <c r="S48" i="3"/>
  <c r="E12" i="2" l="1"/>
  <c r="E13" i="2" s="1"/>
  <c r="S7" i="3"/>
  <c r="I12" i="12" l="1"/>
  <c r="G37" i="13"/>
  <c r="P17" i="13" l="1"/>
  <c r="M17" i="13" s="1"/>
  <c r="P9" i="13"/>
  <c r="G37" i="12"/>
  <c r="P18" i="13" l="1"/>
  <c r="M18" i="13" s="1"/>
  <c r="P21" i="13"/>
  <c r="M18" i="12"/>
  <c r="P15" i="13"/>
  <c r="M20" i="13"/>
  <c r="M21" i="13" l="1"/>
  <c r="P8" i="12"/>
  <c r="P9" i="12" s="1"/>
  <c r="P10" i="12" s="1"/>
  <c r="M17" i="12"/>
  <c r="M19" i="12" l="1"/>
  <c r="M23" i="12"/>
  <c r="M24" i="12" s="1"/>
  <c r="M33" i="12" l="1"/>
  <c r="M32" i="12"/>
  <c r="M34" i="12"/>
  <c r="M35" i="12" s="1"/>
  <c r="D29" i="12"/>
  <c r="C31" i="12" s="1"/>
  <c r="E11" i="14" l="1"/>
  <c r="E12" i="14" s="1"/>
  <c r="O11" i="14"/>
  <c r="O12" i="14" s="1"/>
  <c r="J11" i="14"/>
  <c r="J12" i="14" s="1"/>
  <c r="E20" i="14" l="1"/>
  <c r="E28" i="14"/>
  <c r="E36" i="14"/>
  <c r="E44" i="14"/>
  <c r="E19" i="14"/>
  <c r="E27" i="14"/>
  <c r="E35" i="14"/>
  <c r="E43" i="14"/>
  <c r="E21" i="14"/>
  <c r="E18" i="14"/>
  <c r="E26" i="14"/>
  <c r="E34" i="14"/>
  <c r="E42" i="14"/>
  <c r="E17" i="14"/>
  <c r="E25" i="14"/>
  <c r="E33" i="14"/>
  <c r="E41" i="14"/>
  <c r="E29" i="14"/>
  <c r="E16" i="14"/>
  <c r="E24" i="14"/>
  <c r="E32" i="14"/>
  <c r="E40" i="14"/>
  <c r="E37" i="14"/>
  <c r="E15" i="14"/>
  <c r="E23" i="14"/>
  <c r="E31" i="14"/>
  <c r="E39" i="14"/>
  <c r="E14" i="14"/>
  <c r="E22" i="14"/>
  <c r="E30" i="14"/>
  <c r="E38" i="14"/>
  <c r="E46" i="14"/>
  <c r="E45" i="14"/>
  <c r="O22" i="14"/>
  <c r="O30" i="14"/>
  <c r="O38" i="14"/>
  <c r="O46" i="14"/>
  <c r="O21" i="14"/>
  <c r="O29" i="14"/>
  <c r="O37" i="14"/>
  <c r="O45" i="14"/>
  <c r="O14" i="14"/>
  <c r="O20" i="14"/>
  <c r="O28" i="14"/>
  <c r="O36" i="14"/>
  <c r="O44" i="14"/>
  <c r="O39" i="14"/>
  <c r="O19" i="14"/>
  <c r="O27" i="14"/>
  <c r="O35" i="14"/>
  <c r="O43" i="14"/>
  <c r="O18" i="14"/>
  <c r="O26" i="14"/>
  <c r="O34" i="14"/>
  <c r="O42" i="14"/>
  <c r="O15" i="14"/>
  <c r="O17" i="14"/>
  <c r="O25" i="14"/>
  <c r="O33" i="14"/>
  <c r="O41" i="14"/>
  <c r="O31" i="14"/>
  <c r="O16" i="14"/>
  <c r="O24" i="14"/>
  <c r="O32" i="14"/>
  <c r="O40" i="14"/>
  <c r="O23" i="14"/>
  <c r="J21" i="14"/>
  <c r="J29" i="14"/>
  <c r="J37" i="14"/>
  <c r="J45" i="14"/>
  <c r="J20" i="14"/>
  <c r="J28" i="14"/>
  <c r="J36" i="14"/>
  <c r="J44" i="14"/>
  <c r="J19" i="14"/>
  <c r="J27" i="14"/>
  <c r="J35" i="14"/>
  <c r="J43" i="14"/>
  <c r="J18" i="14"/>
  <c r="J26" i="14"/>
  <c r="J34" i="14"/>
  <c r="J42" i="14"/>
  <c r="J38" i="14"/>
  <c r="J17" i="14"/>
  <c r="J25" i="14"/>
  <c r="J33" i="14"/>
  <c r="J41" i="14"/>
  <c r="J22" i="14"/>
  <c r="J16" i="14"/>
  <c r="J24" i="14"/>
  <c r="J32" i="14"/>
  <c r="J40" i="14"/>
  <c r="J46" i="14"/>
  <c r="J15" i="14"/>
  <c r="J23" i="14"/>
  <c r="J31" i="14"/>
  <c r="J39" i="14"/>
  <c r="J14" i="14"/>
  <c r="J30" i="14"/>
  <c r="O48" i="14" l="1"/>
  <c r="E48" i="14"/>
  <c r="J48" i="14"/>
  <c r="I13" i="12" l="1"/>
  <c r="AS4" i="14" l="1"/>
  <c r="M7" i="23" l="1"/>
  <c r="M8" i="23" s="1"/>
  <c r="I10" i="23"/>
  <c r="B35" i="23" s="1"/>
  <c r="AX6" i="14"/>
  <c r="AX5" i="14"/>
  <c r="AX7" i="14"/>
  <c r="AX4" i="14"/>
  <c r="M9" i="13"/>
  <c r="M23" i="13" s="1"/>
  <c r="M24" i="13" l="1"/>
  <c r="I11" i="23"/>
  <c r="G35" i="23"/>
  <c r="J7" i="14"/>
  <c r="J5" i="14"/>
  <c r="J6" i="14"/>
  <c r="J4" i="14"/>
  <c r="B38" i="13"/>
  <c r="G38" i="13"/>
  <c r="I11" i="13"/>
  <c r="M34" i="13" l="1"/>
  <c r="M35" i="13" s="1"/>
  <c r="M33" i="13"/>
  <c r="M32" i="13"/>
  <c r="D29" i="13"/>
  <c r="C31" i="13" s="1"/>
  <c r="J9" i="14"/>
  <c r="I12" i="13" s="1"/>
  <c r="I13" i="13" s="1"/>
  <c r="M37" i="13" l="1"/>
  <c r="D7" i="25" l="1"/>
  <c r="AB7" i="10" l="1"/>
  <c r="AE7" i="10" s="1"/>
  <c r="W7" i="24" s="1"/>
  <c r="I9" i="11" l="1"/>
  <c r="I10" i="11" s="1"/>
  <c r="D9" i="11"/>
  <c r="D10" i="11" s="1"/>
  <c r="I14" i="11" l="1"/>
  <c r="I34" i="11"/>
  <c r="I22" i="11"/>
  <c r="I35" i="11"/>
  <c r="I12" i="11"/>
  <c r="I30" i="11"/>
  <c r="I17" i="11"/>
  <c r="I15" i="11"/>
  <c r="I42" i="11"/>
  <c r="I23" i="11"/>
  <c r="I44" i="11"/>
  <c r="I31" i="11"/>
  <c r="I36" i="11"/>
  <c r="I27" i="11"/>
  <c r="I37" i="11"/>
  <c r="I28" i="11"/>
  <c r="I39" i="11"/>
  <c r="I16" i="11"/>
  <c r="I24" i="11"/>
  <c r="I19" i="11"/>
  <c r="I32" i="11"/>
  <c r="I20" i="11"/>
  <c r="I40" i="11"/>
  <c r="I38" i="11"/>
  <c r="I25" i="11"/>
  <c r="I13" i="11"/>
  <c r="I33" i="11"/>
  <c r="I21" i="11"/>
  <c r="I41" i="11"/>
  <c r="I29" i="11"/>
  <c r="I26" i="11"/>
  <c r="I43" i="11"/>
  <c r="I18" i="11"/>
  <c r="D41" i="11"/>
  <c r="D29" i="11"/>
  <c r="D30" i="11"/>
  <c r="D27" i="11"/>
  <c r="D13" i="11"/>
  <c r="D16" i="11"/>
  <c r="D26" i="11"/>
  <c r="D14" i="11"/>
  <c r="D35" i="11"/>
  <c r="D32" i="11"/>
  <c r="D44" i="11"/>
  <c r="D24" i="11"/>
  <c r="D40" i="11"/>
  <c r="D15" i="11"/>
  <c r="D34" i="11"/>
  <c r="D31" i="11"/>
  <c r="D18" i="11"/>
  <c r="D36" i="11"/>
  <c r="D22" i="11"/>
  <c r="D38" i="11"/>
  <c r="D12" i="11"/>
  <c r="D23" i="11"/>
  <c r="D20" i="11"/>
  <c r="D33" i="11"/>
  <c r="D17" i="11"/>
  <c r="D42" i="11"/>
  <c r="D28" i="11"/>
  <c r="D39" i="11"/>
  <c r="D37" i="11"/>
  <c r="D25" i="11"/>
  <c r="D19" i="11"/>
  <c r="D43" i="11"/>
  <c r="D21" i="11"/>
  <c r="D46" i="11" l="1"/>
  <c r="I46" i="11"/>
  <c r="I7" i="11" l="1"/>
  <c r="I12" i="2" l="1"/>
  <c r="I13" i="2" s="1"/>
  <c r="E17" i="2" s="1"/>
  <c r="E18" i="2" s="1"/>
  <c r="E19" i="2" s="1"/>
  <c r="E20" i="2" l="1"/>
  <c r="W7" i="2" s="1"/>
  <c r="E43" i="2"/>
  <c r="I20" i="2"/>
  <c r="P26" i="2" l="1"/>
  <c r="P27" i="2" s="1"/>
  <c r="H27" i="2"/>
  <c r="Y4" i="40"/>
  <c r="Y19" i="40"/>
  <c r="Y18" i="40"/>
  <c r="G7" i="36"/>
  <c r="G9" i="36" s="1"/>
  <c r="I14" i="34"/>
  <c r="N7" i="11" s="1"/>
  <c r="G40" i="2"/>
  <c r="AH7" i="3"/>
  <c r="AM9" i="3" s="1"/>
  <c r="AM10" i="3" s="1"/>
  <c r="W24" i="2"/>
  <c r="F21" i="2"/>
  <c r="G22" i="2" s="1"/>
  <c r="B37" i="2"/>
  <c r="H28" i="2" l="1"/>
  <c r="M26" i="2"/>
  <c r="M27" i="2" s="1"/>
  <c r="S9" i="11"/>
  <c r="S10" i="11" s="1"/>
  <c r="N9" i="11"/>
  <c r="N10" i="11" s="1"/>
  <c r="W17" i="2"/>
  <c r="T17" i="2" s="1"/>
  <c r="T23" i="2" s="1"/>
  <c r="T26" i="2" s="1"/>
  <c r="T27" i="2" s="1"/>
  <c r="AH9" i="3"/>
  <c r="AH10" i="3" s="1"/>
  <c r="AH32" i="3" s="1"/>
  <c r="W8" i="2"/>
  <c r="W23" i="2"/>
  <c r="AM18" i="3"/>
  <c r="AM16" i="3"/>
  <c r="AM14" i="3"/>
  <c r="AM31" i="3"/>
  <c r="AM22" i="3"/>
  <c r="AM35" i="3"/>
  <c r="AM12" i="3"/>
  <c r="AM21" i="3"/>
  <c r="AM36" i="3"/>
  <c r="AM13" i="3"/>
  <c r="AM27" i="3"/>
  <c r="AM33" i="3"/>
  <c r="AM39" i="3"/>
  <c r="AM37" i="3"/>
  <c r="AM25" i="3"/>
  <c r="AM23" i="3"/>
  <c r="AM24" i="3"/>
  <c r="AM19" i="3"/>
  <c r="AM29" i="3"/>
  <c r="AM17" i="3"/>
  <c r="AM28" i="3"/>
  <c r="AM40" i="3"/>
  <c r="AM15" i="3"/>
  <c r="AM38" i="3"/>
  <c r="AM32" i="3"/>
  <c r="AM26" i="3"/>
  <c r="AM20" i="3"/>
  <c r="AM34" i="3"/>
  <c r="AM30" i="3"/>
  <c r="B37" i="23"/>
  <c r="H29" i="2" l="1"/>
  <c r="H32" i="2" s="1"/>
  <c r="T24" i="2"/>
  <c r="T33" i="2" s="1"/>
  <c r="S22" i="11"/>
  <c r="S31" i="11"/>
  <c r="S35" i="11"/>
  <c r="S25" i="11"/>
  <c r="S30" i="11"/>
  <c r="S14" i="11"/>
  <c r="S12" i="11"/>
  <c r="S27" i="11"/>
  <c r="S17" i="11"/>
  <c r="S40" i="11"/>
  <c r="S37" i="11"/>
  <c r="S19" i="11"/>
  <c r="S42" i="11"/>
  <c r="S32" i="11"/>
  <c r="S39" i="11"/>
  <c r="S33" i="11"/>
  <c r="S29" i="11"/>
  <c r="S15" i="11"/>
  <c r="S34" i="11"/>
  <c r="S24" i="11"/>
  <c r="S41" i="11"/>
  <c r="S21" i="11"/>
  <c r="S44" i="11"/>
  <c r="S26" i="11"/>
  <c r="S16" i="11"/>
  <c r="S43" i="11"/>
  <c r="S13" i="11"/>
  <c r="S36" i="11"/>
  <c r="S18" i="11"/>
  <c r="S23" i="11"/>
  <c r="S38" i="11"/>
  <c r="S28" i="11"/>
  <c r="S20" i="11"/>
  <c r="N29" i="11"/>
  <c r="N19" i="11"/>
  <c r="N17" i="11"/>
  <c r="N40" i="11"/>
  <c r="N21" i="11"/>
  <c r="N38" i="11"/>
  <c r="N42" i="11"/>
  <c r="N32" i="11"/>
  <c r="N30" i="11"/>
  <c r="N13" i="11"/>
  <c r="N44" i="11"/>
  <c r="N34" i="11"/>
  <c r="N24" i="11"/>
  <c r="N14" i="11"/>
  <c r="N37" i="11"/>
  <c r="N36" i="11"/>
  <c r="N26" i="11"/>
  <c r="N16" i="11"/>
  <c r="N39" i="11"/>
  <c r="N28" i="11"/>
  <c r="N18" i="11"/>
  <c r="N22" i="11"/>
  <c r="N31" i="11"/>
  <c r="N27" i="11"/>
  <c r="N20" i="11"/>
  <c r="N43" i="11"/>
  <c r="N41" i="11"/>
  <c r="N23" i="11"/>
  <c r="N25" i="11"/>
  <c r="N12" i="11"/>
  <c r="N35" i="11"/>
  <c r="N33" i="11"/>
  <c r="N15" i="11"/>
  <c r="AH29" i="3"/>
  <c r="AH24" i="3"/>
  <c r="AH27" i="3"/>
  <c r="AH14" i="3"/>
  <c r="AH26" i="3"/>
  <c r="AH35" i="3"/>
  <c r="AH19" i="3"/>
  <c r="AH21" i="3"/>
  <c r="AH42" i="3"/>
  <c r="AH41" i="3"/>
  <c r="AH30" i="3"/>
  <c r="AH37" i="3"/>
  <c r="AH36" i="3"/>
  <c r="AH33" i="3"/>
  <c r="AH43" i="3"/>
  <c r="AH39" i="3"/>
  <c r="AH46" i="3"/>
  <c r="AH13" i="3"/>
  <c r="AH17" i="3"/>
  <c r="AH18" i="3"/>
  <c r="AH15" i="3"/>
  <c r="AH28" i="3"/>
  <c r="AH25" i="3"/>
  <c r="AH40" i="3"/>
  <c r="AH44" i="3"/>
  <c r="AH22" i="3"/>
  <c r="AH23" i="3"/>
  <c r="AH31" i="3"/>
  <c r="AH16" i="3"/>
  <c r="AH38" i="3"/>
  <c r="AH34" i="3"/>
  <c r="AH12" i="3"/>
  <c r="AH45" i="3"/>
  <c r="AH20" i="3"/>
  <c r="AM48" i="3"/>
  <c r="G31" i="2" l="1"/>
  <c r="T34" i="2"/>
  <c r="T35" i="2" s="1"/>
  <c r="T32" i="2"/>
  <c r="N46" i="11"/>
  <c r="S46" i="11"/>
  <c r="AH48" i="3"/>
  <c r="AM7" i="3" s="1"/>
  <c r="E22" i="2" s="1"/>
  <c r="E24" i="2" s="1"/>
  <c r="S7" i="11" l="1"/>
  <c r="AB3" i="10"/>
  <c r="AE3" i="10" s="1"/>
  <c r="Y20" i="40"/>
  <c r="W3" i="24" l="1"/>
  <c r="I12" i="34"/>
  <c r="I12" i="43"/>
  <c r="I13" i="43" s="1"/>
  <c r="E17" i="43" s="1"/>
  <c r="E18" i="43" s="1"/>
  <c r="FI9" i="14"/>
  <c r="FI11" i="14" s="1"/>
  <c r="FI12" i="14" s="1"/>
  <c r="FI28" i="14" s="1"/>
  <c r="FI27" i="14" l="1"/>
  <c r="FI15" i="14"/>
  <c r="FI40" i="14"/>
  <c r="FI34" i="14"/>
  <c r="FI42" i="14"/>
  <c r="FI38" i="14"/>
  <c r="FI17" i="14"/>
  <c r="FI35" i="14"/>
  <c r="FI26" i="14"/>
  <c r="FI39" i="14"/>
  <c r="FI30" i="14"/>
  <c r="FI16" i="14"/>
  <c r="FI21" i="14"/>
  <c r="FI31" i="14"/>
  <c r="FS11" i="14"/>
  <c r="FS12" i="14" s="1"/>
  <c r="FS42" i="14" s="1"/>
  <c r="FI43" i="14"/>
  <c r="FX11" i="14"/>
  <c r="FX12" i="14" s="1"/>
  <c r="FX23" i="14" s="1"/>
  <c r="FI29" i="14"/>
  <c r="FI18" i="14"/>
  <c r="FI23" i="14"/>
  <c r="FI25" i="14"/>
  <c r="FI36" i="14"/>
  <c r="FI14" i="14"/>
  <c r="FI41" i="14"/>
  <c r="FI46" i="14"/>
  <c r="FI44" i="14"/>
  <c r="FI20" i="14"/>
  <c r="FI22" i="14"/>
  <c r="FI24" i="14"/>
  <c r="FI33" i="14"/>
  <c r="FI19" i="14"/>
  <c r="FN11" i="14"/>
  <c r="FN12" i="14" s="1"/>
  <c r="FN36" i="14" s="1"/>
  <c r="FI45" i="14"/>
  <c r="FI37" i="14"/>
  <c r="FI32" i="14"/>
  <c r="FS14" i="14" l="1"/>
  <c r="FS38" i="14"/>
  <c r="FN18" i="14"/>
  <c r="FS35" i="14"/>
  <c r="FX18" i="14"/>
  <c r="FN42" i="14"/>
  <c r="FS16" i="14"/>
  <c r="FN33" i="14"/>
  <c r="FN20" i="14"/>
  <c r="FS24" i="14"/>
  <c r="FN32" i="14"/>
  <c r="FS39" i="14"/>
  <c r="FS17" i="14"/>
  <c r="FS15" i="14"/>
  <c r="FN40" i="14"/>
  <c r="FS27" i="14"/>
  <c r="FN34" i="14"/>
  <c r="FS22" i="14"/>
  <c r="FS45" i="14"/>
  <c r="FX17" i="14"/>
  <c r="FN41" i="14"/>
  <c r="FN16" i="14"/>
  <c r="FN23" i="14"/>
  <c r="FS18" i="14"/>
  <c r="FS23" i="14"/>
  <c r="FN17" i="14"/>
  <c r="FN14" i="14"/>
  <c r="FN29" i="14"/>
  <c r="FN15" i="14"/>
  <c r="FN25" i="14"/>
  <c r="FN43" i="14"/>
  <c r="FN45" i="14"/>
  <c r="FS19" i="14"/>
  <c r="FN39" i="14"/>
  <c r="FN19" i="14"/>
  <c r="FN22" i="14"/>
  <c r="FN38" i="14"/>
  <c r="FN21" i="14"/>
  <c r="FN31" i="14"/>
  <c r="FN44" i="14"/>
  <c r="FN37" i="14"/>
  <c r="FN46" i="14"/>
  <c r="FS28" i="14"/>
  <c r="FS44" i="14"/>
  <c r="FS32" i="14"/>
  <c r="FS30" i="14"/>
  <c r="FS37" i="14"/>
  <c r="FS29" i="14"/>
  <c r="FS41" i="14"/>
  <c r="FS34" i="14"/>
  <c r="FS25" i="14"/>
  <c r="FS20" i="14"/>
  <c r="FS21" i="14"/>
  <c r="FS40" i="14"/>
  <c r="FS26" i="14"/>
  <c r="FS36" i="14"/>
  <c r="FS31" i="14"/>
  <c r="FN28" i="14"/>
  <c r="FN30" i="14"/>
  <c r="FN27" i="14"/>
  <c r="FN24" i="14"/>
  <c r="FN26" i="14"/>
  <c r="FN35" i="14"/>
  <c r="FI48" i="14"/>
  <c r="FX30" i="14"/>
  <c r="FX31" i="14"/>
  <c r="FX15" i="14"/>
  <c r="FS46" i="14"/>
  <c r="FS33" i="14"/>
  <c r="FS43" i="14"/>
  <c r="FX36" i="14"/>
  <c r="FX16" i="14"/>
  <c r="FX38" i="14"/>
  <c r="FX41" i="14"/>
  <c r="FX25" i="14"/>
  <c r="FX45" i="14"/>
  <c r="FX40" i="14"/>
  <c r="FX39" i="14"/>
  <c r="FX43" i="14"/>
  <c r="FX14" i="14"/>
  <c r="FX42" i="14"/>
  <c r="FX26" i="14"/>
  <c r="FX37" i="14"/>
  <c r="FX33" i="14"/>
  <c r="FX24" i="14"/>
  <c r="FX35" i="14"/>
  <c r="FX34" i="14"/>
  <c r="FX20" i="14"/>
  <c r="FX27" i="14"/>
  <c r="FX21" i="14"/>
  <c r="FX29" i="14"/>
  <c r="FX44" i="14"/>
  <c r="FX32" i="14"/>
  <c r="FX22" i="14"/>
  <c r="FX19" i="14"/>
  <c r="FX46" i="14"/>
  <c r="FX28" i="14"/>
  <c r="FS48" i="14" l="1"/>
  <c r="FN48" i="14"/>
  <c r="FX48" i="14"/>
  <c r="FN9" i="14" l="1"/>
  <c r="G14" i="36" s="1"/>
  <c r="G16" i="36" s="1"/>
  <c r="C23" i="36" s="1"/>
  <c r="Y14" i="40" l="1"/>
  <c r="E14" i="12"/>
  <c r="W26" i="12" s="1"/>
  <c r="W27" i="12" s="1"/>
  <c r="G34" i="34"/>
  <c r="P7" i="34" l="1"/>
  <c r="D25" i="34"/>
  <c r="P16" i="34" l="1"/>
  <c r="M16" i="34" s="1"/>
  <c r="D26" i="34"/>
  <c r="P23" i="34"/>
  <c r="P8" i="34"/>
  <c r="P9" i="34" s="1"/>
  <c r="P22" i="34"/>
  <c r="P10" i="34" l="1"/>
  <c r="P20" i="34"/>
  <c r="P17" i="34"/>
  <c r="M17" i="34" s="1"/>
  <c r="M22" i="34" l="1"/>
  <c r="D27" i="34" s="1"/>
  <c r="M20" i="34"/>
  <c r="M23" i="34" l="1"/>
  <c r="M34" i="34" s="1"/>
  <c r="M35" i="34" s="1"/>
  <c r="C34" i="24"/>
  <c r="I13" i="34"/>
  <c r="E17" i="34" s="1"/>
  <c r="E18" i="34" s="1"/>
  <c r="E19" i="34" s="1"/>
  <c r="E20" i="34" s="1"/>
  <c r="E22" i="34" s="1"/>
  <c r="E40" i="34" l="1"/>
  <c r="M33" i="34"/>
  <c r="M32" i="34"/>
  <c r="I20" i="34"/>
  <c r="C29" i="34"/>
  <c r="G37" i="34"/>
  <c r="W7" i="34"/>
  <c r="P25" i="34" l="1"/>
  <c r="M28" i="34"/>
  <c r="M31" i="34" s="1"/>
  <c r="W8" i="34"/>
  <c r="W16" i="34"/>
  <c r="W22" i="34"/>
  <c r="T25" i="34" s="1"/>
  <c r="T26" i="34" s="1"/>
  <c r="W23" i="34"/>
  <c r="I14" i="43"/>
  <c r="E19" i="43" s="1"/>
  <c r="I20" i="43" s="1"/>
  <c r="B34" i="34"/>
  <c r="H25" i="34"/>
  <c r="P28" i="34"/>
  <c r="P31" i="34" s="1"/>
  <c r="P26" i="34" l="1"/>
  <c r="M25" i="34"/>
  <c r="M26" i="34" s="1"/>
  <c r="G34" i="43"/>
  <c r="P7" i="43"/>
  <c r="D25" i="43"/>
  <c r="D26" i="43" s="1"/>
  <c r="P28" i="43"/>
  <c r="P31" i="43" s="1"/>
  <c r="H25" i="43"/>
  <c r="P25" i="43"/>
  <c r="P26" i="43" s="1"/>
  <c r="E40" i="43"/>
  <c r="E20" i="43"/>
  <c r="E22" i="43" s="1"/>
  <c r="H26" i="34"/>
  <c r="P20" i="43" l="1"/>
  <c r="P10" i="43"/>
  <c r="H27" i="34"/>
  <c r="H30" i="34" s="1"/>
  <c r="I21" i="34" s="1"/>
  <c r="P23" i="43"/>
  <c r="P22" i="43"/>
  <c r="P8" i="43"/>
  <c r="P16" i="43"/>
  <c r="M16" i="43" s="1"/>
  <c r="G37" i="43"/>
  <c r="W7" i="43"/>
  <c r="H26" i="43"/>
  <c r="W8" i="43" l="1"/>
  <c r="W22" i="43"/>
  <c r="T25" i="43" s="1"/>
  <c r="T26" i="43" s="1"/>
  <c r="W16" i="43"/>
  <c r="W23" i="43"/>
  <c r="E34" i="24"/>
  <c r="G29" i="34"/>
  <c r="P17" i="43"/>
  <c r="M17" i="43" s="1"/>
  <c r="P9" i="43"/>
  <c r="M28" i="43" l="1"/>
  <c r="M31" i="43" s="1"/>
  <c r="M22" i="43"/>
  <c r="M23" i="43" s="1"/>
  <c r="M34" i="43" s="1"/>
  <c r="M35" i="43" s="1"/>
  <c r="M20" i="43"/>
  <c r="M25" i="43" l="1"/>
  <c r="D27" i="43"/>
  <c r="C35" i="24" s="1"/>
  <c r="M33" i="43"/>
  <c r="M32" i="43"/>
  <c r="H27" i="43" l="1"/>
  <c r="H30" i="43" s="1"/>
  <c r="I21" i="43" s="1"/>
  <c r="M26" i="43"/>
  <c r="C29" i="43"/>
  <c r="G7" i="42" l="1"/>
  <c r="G29" i="43"/>
  <c r="E35" i="24"/>
  <c r="B34" i="43"/>
  <c r="Y21" i="40"/>
  <c r="AC7" i="11" l="1"/>
  <c r="AC9" i="11" s="1"/>
  <c r="AC10" i="11" s="1"/>
  <c r="AC22" i="11" s="1"/>
  <c r="AC36" i="11" l="1"/>
  <c r="AC43" i="11"/>
  <c r="AC40" i="11"/>
  <c r="AC19" i="11"/>
  <c r="AC14" i="11"/>
  <c r="AC28" i="11"/>
  <c r="AC27" i="11"/>
  <c r="AC21" i="11"/>
  <c r="AC25" i="11"/>
  <c r="AC35" i="11"/>
  <c r="AC34" i="11"/>
  <c r="AC29" i="11"/>
  <c r="AC42" i="11"/>
  <c r="AC38" i="11"/>
  <c r="AC13" i="11"/>
  <c r="AC20" i="11"/>
  <c r="AC23" i="11"/>
  <c r="AC17" i="11"/>
  <c r="AC44" i="11"/>
  <c r="AC12" i="11"/>
  <c r="AC31" i="11"/>
  <c r="AC18" i="11"/>
  <c r="AC30" i="11"/>
  <c r="AH9" i="11"/>
  <c r="AH10" i="11" s="1"/>
  <c r="AH33" i="11" s="1"/>
  <c r="AC39" i="11"/>
  <c r="AC24" i="11"/>
  <c r="AC33" i="11"/>
  <c r="AC16" i="11"/>
  <c r="AC32" i="11"/>
  <c r="AC37" i="11"/>
  <c r="AC26" i="11"/>
  <c r="AC15" i="11"/>
  <c r="AC41" i="11"/>
  <c r="AH32" i="11" l="1"/>
  <c r="AH41" i="11"/>
  <c r="AH42" i="11"/>
  <c r="AH23" i="11"/>
  <c r="AH15" i="11"/>
  <c r="AH17" i="11"/>
  <c r="AH26" i="11"/>
  <c r="AH16" i="11"/>
  <c r="AH25" i="11"/>
  <c r="AH24" i="11"/>
  <c r="AH27" i="11"/>
  <c r="AH44" i="11"/>
  <c r="AH35" i="11"/>
  <c r="AH12" i="11"/>
  <c r="AH28" i="11"/>
  <c r="AH37" i="11"/>
  <c r="AH20" i="11"/>
  <c r="AH30" i="11"/>
  <c r="AH43" i="11"/>
  <c r="AH34" i="11"/>
  <c r="AH18" i="11"/>
  <c r="AH36" i="11"/>
  <c r="AH19" i="11"/>
  <c r="AH13" i="11"/>
  <c r="AH29" i="11"/>
  <c r="AH22" i="11"/>
  <c r="AH38" i="11"/>
  <c r="AH21" i="11"/>
  <c r="AH14" i="11"/>
  <c r="AH39" i="11"/>
  <c r="AH31" i="11"/>
  <c r="AC46" i="11"/>
  <c r="AH40" i="11"/>
  <c r="AH46" i="11" l="1"/>
  <c r="AH7" i="11" s="1"/>
  <c r="I6" i="44" l="1"/>
  <c r="P37" i="44" s="1"/>
  <c r="M7" i="10" s="1"/>
  <c r="T33" i="40" l="1"/>
  <c r="T32" i="40"/>
  <c r="T31" i="40"/>
  <c r="T30" i="40"/>
  <c r="JE4" i="14"/>
  <c r="M7" i="44"/>
  <c r="M8" i="44" s="1"/>
  <c r="I10" i="44"/>
  <c r="P38" i="44" l="1"/>
  <c r="P39" i="44" s="1"/>
  <c r="V7" i="10"/>
  <c r="E6" i="22" s="1"/>
  <c r="JJ5" i="14"/>
  <c r="JJ6" i="14"/>
  <c r="JJ7" i="14"/>
  <c r="JJ4" i="14"/>
  <c r="G35" i="44"/>
  <c r="I11" i="44"/>
  <c r="B35" i="44"/>
  <c r="P40" i="44" l="1"/>
  <c r="D46" i="24" s="1"/>
  <c r="D45" i="24"/>
  <c r="GW4" i="14"/>
  <c r="IK4" i="14"/>
  <c r="E10" i="22"/>
  <c r="T8" i="22"/>
  <c r="T9" i="22" s="1"/>
  <c r="EO11" i="14"/>
  <c r="EO12" i="14" s="1"/>
  <c r="HB5" i="14" l="1"/>
  <c r="HB6" i="14"/>
  <c r="HB4" i="14"/>
  <c r="HB7" i="14"/>
  <c r="IP4" i="14"/>
  <c r="IP7" i="14"/>
  <c r="IP6" i="14"/>
  <c r="IP5" i="14"/>
  <c r="E11" i="22"/>
  <c r="B41" i="22"/>
  <c r="G41" i="22" s="1"/>
  <c r="EO36" i="14"/>
  <c r="EO19" i="14"/>
  <c r="EO29" i="14"/>
  <c r="EO23" i="14"/>
  <c r="EO38" i="14"/>
  <c r="EO33" i="14"/>
  <c r="EO22" i="14"/>
  <c r="EO43" i="14"/>
  <c r="EO42" i="14"/>
  <c r="EO40" i="14"/>
  <c r="EO35" i="14"/>
  <c r="EO45" i="14"/>
  <c r="EO44" i="14"/>
  <c r="EO27" i="14"/>
  <c r="EO25" i="14"/>
  <c r="EO37" i="14"/>
  <c r="EO15" i="14"/>
  <c r="EO20" i="14"/>
  <c r="EO32" i="14"/>
  <c r="EO39" i="14"/>
  <c r="EO14" i="14"/>
  <c r="EO41" i="14"/>
  <c r="EO46" i="14"/>
  <c r="EO18" i="14"/>
  <c r="EO16" i="14"/>
  <c r="EO26" i="14"/>
  <c r="EO17" i="14"/>
  <c r="EO34" i="14"/>
  <c r="EO24" i="14"/>
  <c r="EO31" i="14"/>
  <c r="EO28" i="14"/>
  <c r="EO21" i="14"/>
  <c r="EO30" i="14"/>
  <c r="EO48" i="14" l="1"/>
  <c r="ET9" i="14" s="1"/>
  <c r="T23" i="37"/>
  <c r="T24" i="37" s="1"/>
  <c r="E12" i="47" l="1"/>
  <c r="E13" i="47" s="1"/>
  <c r="B40" i="12" l="1"/>
  <c r="CG9" i="14"/>
  <c r="CL11" i="14" l="1"/>
  <c r="CL12" i="14" s="1"/>
  <c r="CQ11" i="14"/>
  <c r="CQ12" i="14" s="1"/>
  <c r="CG11" i="14"/>
  <c r="CG12" i="14" s="1"/>
  <c r="CV11" i="14"/>
  <c r="CV12" i="14" s="1"/>
  <c r="CL44" i="14" l="1"/>
  <c r="CL43" i="14"/>
  <c r="CL45" i="14"/>
  <c r="CL28" i="14"/>
  <c r="CL18" i="14"/>
  <c r="CL30" i="14"/>
  <c r="CL23" i="14"/>
  <c r="CL38" i="14"/>
  <c r="CL22" i="14"/>
  <c r="CL17" i="14"/>
  <c r="CL34" i="14"/>
  <c r="CL24" i="14"/>
  <c r="CL26" i="14"/>
  <c r="CL36" i="14"/>
  <c r="CL21" i="14"/>
  <c r="CL46" i="14"/>
  <c r="CL16" i="14"/>
  <c r="CL35" i="14"/>
  <c r="CL41" i="14"/>
  <c r="CL27" i="14"/>
  <c r="CL33" i="14"/>
  <c r="CL25" i="14"/>
  <c r="CL15" i="14"/>
  <c r="CL32" i="14"/>
  <c r="CL37" i="14"/>
  <c r="CL20" i="14"/>
  <c r="CL19" i="14"/>
  <c r="CL40" i="14"/>
  <c r="CL14" i="14"/>
  <c r="CL31" i="14"/>
  <c r="CL39" i="14"/>
  <c r="CL29" i="14"/>
  <c r="CL42" i="14"/>
  <c r="CQ20" i="14"/>
  <c r="CQ35" i="14"/>
  <c r="CQ41" i="14"/>
  <c r="CQ36" i="14"/>
  <c r="CQ15" i="14"/>
  <c r="CQ30" i="14"/>
  <c r="CQ26" i="14"/>
  <c r="CQ22" i="14"/>
  <c r="CQ39" i="14"/>
  <c r="CQ46" i="14"/>
  <c r="CQ40" i="14"/>
  <c r="CQ38" i="14"/>
  <c r="CQ32" i="14"/>
  <c r="CQ17" i="14"/>
  <c r="CQ19" i="14"/>
  <c r="CQ25" i="14"/>
  <c r="CQ31" i="14"/>
  <c r="CQ24" i="14"/>
  <c r="CQ16" i="14"/>
  <c r="CQ44" i="14"/>
  <c r="CQ29" i="14"/>
  <c r="CQ33" i="14"/>
  <c r="CQ37" i="14"/>
  <c r="CQ18" i="14"/>
  <c r="CQ34" i="14"/>
  <c r="CQ43" i="14"/>
  <c r="CQ23" i="14"/>
  <c r="CQ28" i="14"/>
  <c r="CQ21" i="14"/>
  <c r="CQ42" i="14"/>
  <c r="CQ14" i="14"/>
  <c r="CQ27" i="14"/>
  <c r="CQ45" i="14"/>
  <c r="CG22" i="14"/>
  <c r="CG30" i="14"/>
  <c r="CG32" i="14"/>
  <c r="CG41" i="14"/>
  <c r="CG34" i="14"/>
  <c r="CG36" i="14"/>
  <c r="CG17" i="14"/>
  <c r="CG28" i="14"/>
  <c r="CG21" i="14"/>
  <c r="CG26" i="14"/>
  <c r="CG42" i="14"/>
  <c r="CG45" i="14"/>
  <c r="CG31" i="14"/>
  <c r="CG39" i="14"/>
  <c r="CG24" i="14"/>
  <c r="CG46" i="14"/>
  <c r="CG29" i="14"/>
  <c r="CG44" i="14"/>
  <c r="CG19" i="14"/>
  <c r="CG40" i="14"/>
  <c r="CG18" i="14"/>
  <c r="CG23" i="14"/>
  <c r="CG43" i="14"/>
  <c r="CG38" i="14"/>
  <c r="CG27" i="14"/>
  <c r="CG15" i="14"/>
  <c r="CG37" i="14"/>
  <c r="CG35" i="14"/>
  <c r="CG25" i="14"/>
  <c r="CG14" i="14"/>
  <c r="CG16" i="14"/>
  <c r="CG20" i="14"/>
  <c r="CG33" i="14"/>
  <c r="CV21" i="14"/>
  <c r="CV29" i="14"/>
  <c r="CV20" i="14"/>
  <c r="CV40" i="14"/>
  <c r="CV35" i="14"/>
  <c r="CV34" i="14"/>
  <c r="CV24" i="14"/>
  <c r="CV23" i="14"/>
  <c r="CV15" i="14"/>
  <c r="CV17" i="14"/>
  <c r="CV30" i="14"/>
  <c r="CV42" i="14"/>
  <c r="CV26" i="14"/>
  <c r="CV37" i="14"/>
  <c r="CV38" i="14"/>
  <c r="CV44" i="14"/>
  <c r="CV31" i="14"/>
  <c r="CV16" i="14"/>
  <c r="CV45" i="14"/>
  <c r="CV43" i="14"/>
  <c r="CV25" i="14"/>
  <c r="CV36" i="14"/>
  <c r="CV22" i="14"/>
  <c r="CV46" i="14"/>
  <c r="CV18" i="14"/>
  <c r="CV39" i="14"/>
  <c r="CV28" i="14"/>
  <c r="CV32" i="14"/>
  <c r="CV14" i="14"/>
  <c r="CV33" i="14"/>
  <c r="CV41" i="14"/>
  <c r="CV19" i="14"/>
  <c r="CV27" i="14"/>
  <c r="CG48" i="14" l="1"/>
  <c r="CV48" i="14"/>
  <c r="CQ48" i="14"/>
  <c r="CL48" i="14"/>
  <c r="CL9" i="14" l="1"/>
  <c r="E12" i="12" s="1"/>
  <c r="E13" i="12" s="1"/>
  <c r="E17" i="12" s="1"/>
  <c r="E18" i="12" s="1"/>
  <c r="E19" i="12" s="1"/>
  <c r="I20" i="12" s="1"/>
  <c r="Y7" i="40" s="1"/>
  <c r="I14" i="37" l="1"/>
  <c r="E43" i="12"/>
  <c r="E20" i="12"/>
  <c r="W7" i="12" s="1"/>
  <c r="H27" i="12"/>
  <c r="B37" i="12"/>
  <c r="P26" i="12"/>
  <c r="KS9" i="14"/>
  <c r="P8" i="37" l="1"/>
  <c r="D27" i="37"/>
  <c r="M26" i="12"/>
  <c r="M27" i="12" s="1"/>
  <c r="P27" i="12"/>
  <c r="F21" i="12"/>
  <c r="G22" i="12" s="1"/>
  <c r="Y15" i="40"/>
  <c r="DA9" i="14"/>
  <c r="DA11" i="14" s="1"/>
  <c r="DA12" i="14" s="1"/>
  <c r="KS11" i="14"/>
  <c r="KS12" i="14" s="1"/>
  <c r="KX11" i="14"/>
  <c r="KX12" i="14" s="1"/>
  <c r="LH11" i="14"/>
  <c r="LH12" i="14" s="1"/>
  <c r="LC11" i="14"/>
  <c r="LC12" i="14" s="1"/>
  <c r="G40" i="12"/>
  <c r="W8" i="12"/>
  <c r="H28" i="12"/>
  <c r="G37" i="47"/>
  <c r="D28" i="37" l="1"/>
  <c r="H29" i="12"/>
  <c r="G31" i="12" s="1"/>
  <c r="DF11" i="14"/>
  <c r="DF12" i="14" s="1"/>
  <c r="DF39" i="14" s="1"/>
  <c r="DP11" i="14"/>
  <c r="DP12" i="14" s="1"/>
  <c r="DP24" i="14" s="1"/>
  <c r="DK11" i="14"/>
  <c r="DK12" i="14" s="1"/>
  <c r="DK32" i="14" s="1"/>
  <c r="W9" i="12"/>
  <c r="W10" i="12" s="1"/>
  <c r="KS46" i="14"/>
  <c r="KS26" i="14"/>
  <c r="KS37" i="14"/>
  <c r="KS21" i="14"/>
  <c r="KS33" i="14"/>
  <c r="KS14" i="14"/>
  <c r="KS28" i="14"/>
  <c r="KS45" i="14"/>
  <c r="KS23" i="14"/>
  <c r="KS22" i="14"/>
  <c r="KS35" i="14"/>
  <c r="KS43" i="14"/>
  <c r="KS30" i="14"/>
  <c r="KS42" i="14"/>
  <c r="KS25" i="14"/>
  <c r="KS16" i="14"/>
  <c r="KS32" i="14"/>
  <c r="KS39" i="14"/>
  <c r="KS27" i="14"/>
  <c r="KS40" i="14"/>
  <c r="KS41" i="14"/>
  <c r="KS19" i="14"/>
  <c r="KS34" i="14"/>
  <c r="KS44" i="14"/>
  <c r="KS29" i="14"/>
  <c r="KS18" i="14"/>
  <c r="KS36" i="14"/>
  <c r="KS20" i="14"/>
  <c r="KS31" i="14"/>
  <c r="KS15" i="14"/>
  <c r="KS24" i="14"/>
  <c r="KS17" i="14"/>
  <c r="KS38" i="14"/>
  <c r="KX38" i="14"/>
  <c r="KX24" i="14"/>
  <c r="KX42" i="14"/>
  <c r="KX25" i="14"/>
  <c r="KX46" i="14"/>
  <c r="KX26" i="14"/>
  <c r="KX39" i="14"/>
  <c r="KX27" i="14"/>
  <c r="KX43" i="14"/>
  <c r="KX28" i="14"/>
  <c r="KX44" i="14"/>
  <c r="KX29" i="14"/>
  <c r="KX40" i="14"/>
  <c r="KX30" i="14"/>
  <c r="KX14" i="14"/>
  <c r="KX31" i="14"/>
  <c r="KX15" i="14"/>
  <c r="KX32" i="14"/>
  <c r="KX16" i="14"/>
  <c r="KX33" i="14"/>
  <c r="KX17" i="14"/>
  <c r="KX34" i="14"/>
  <c r="KX18" i="14"/>
  <c r="KX35" i="14"/>
  <c r="KX19" i="14"/>
  <c r="KX36" i="14"/>
  <c r="KX20" i="14"/>
  <c r="KX37" i="14"/>
  <c r="KX21" i="14"/>
  <c r="KX41" i="14"/>
  <c r="KX22" i="14"/>
  <c r="KX45" i="14"/>
  <c r="KX23" i="14"/>
  <c r="LH19" i="14"/>
  <c r="LH18" i="14"/>
  <c r="LH16" i="14"/>
  <c r="LH22" i="14"/>
  <c r="LH20" i="14"/>
  <c r="LH30" i="14"/>
  <c r="LH24" i="14"/>
  <c r="LH27" i="14"/>
  <c r="LH26" i="14"/>
  <c r="LH35" i="14"/>
  <c r="LH32" i="14"/>
  <c r="LH17" i="14"/>
  <c r="LH23" i="14"/>
  <c r="LH34" i="14"/>
  <c r="LH15" i="14"/>
  <c r="LH33" i="14"/>
  <c r="LH36" i="14"/>
  <c r="LH21" i="14"/>
  <c r="LH14" i="14"/>
  <c r="LH29" i="14"/>
  <c r="LH28" i="14"/>
  <c r="LH25" i="14"/>
  <c r="LH31" i="14"/>
  <c r="LC45" i="14"/>
  <c r="LC29" i="14"/>
  <c r="LC22" i="14"/>
  <c r="LC18" i="14"/>
  <c r="LC37" i="14"/>
  <c r="LC26" i="14"/>
  <c r="LC30" i="14"/>
  <c r="LC21" i="14"/>
  <c r="LC25" i="14"/>
  <c r="LC41" i="14"/>
  <c r="LC46" i="14"/>
  <c r="LC14" i="14"/>
  <c r="LC40" i="14"/>
  <c r="LC39" i="14"/>
  <c r="LC34" i="14"/>
  <c r="LC23" i="14"/>
  <c r="LC38" i="14"/>
  <c r="LC35" i="14"/>
  <c r="LC31" i="14"/>
  <c r="LC24" i="14"/>
  <c r="LC19" i="14"/>
  <c r="LC15" i="14"/>
  <c r="LC42" i="14"/>
  <c r="LC16" i="14"/>
  <c r="LC17" i="14"/>
  <c r="LC36" i="14"/>
  <c r="LC32" i="14"/>
  <c r="LC27" i="14"/>
  <c r="LC20" i="14"/>
  <c r="LC43" i="14"/>
  <c r="LC44" i="14"/>
  <c r="LC33" i="14"/>
  <c r="LC28" i="14"/>
  <c r="P23" i="47"/>
  <c r="P17" i="47"/>
  <c r="M17" i="47" s="1"/>
  <c r="P24" i="47"/>
  <c r="P8" i="47"/>
  <c r="DA38" i="14"/>
  <c r="DA36" i="14"/>
  <c r="DA26" i="14"/>
  <c r="DA30" i="14"/>
  <c r="DA27" i="14"/>
  <c r="DA32" i="14"/>
  <c r="DA19" i="14"/>
  <c r="DA31" i="14"/>
  <c r="DA29" i="14"/>
  <c r="DA37" i="14"/>
  <c r="DA43" i="14"/>
  <c r="DA35" i="14"/>
  <c r="DA28" i="14"/>
  <c r="DA39" i="14"/>
  <c r="DA25" i="14"/>
  <c r="DA21" i="14"/>
  <c r="DA40" i="14"/>
  <c r="DA45" i="14"/>
  <c r="DA22" i="14"/>
  <c r="DA46" i="14"/>
  <c r="DA34" i="14"/>
  <c r="DA18" i="14"/>
  <c r="DA23" i="14"/>
  <c r="DA20" i="14"/>
  <c r="DA15" i="14"/>
  <c r="DA17" i="14"/>
  <c r="DA24" i="14"/>
  <c r="DA41" i="14"/>
  <c r="DA42" i="14"/>
  <c r="DA44" i="14"/>
  <c r="DA16" i="14"/>
  <c r="DA14" i="14"/>
  <c r="DA33" i="14"/>
  <c r="W17" i="12" l="1"/>
  <c r="T17" i="12" s="1"/>
  <c r="DP17" i="14"/>
  <c r="DP42" i="14"/>
  <c r="DP19" i="14"/>
  <c r="DP45" i="14"/>
  <c r="DK14" i="14"/>
  <c r="DK15" i="14"/>
  <c r="DK22" i="14"/>
  <c r="DK43" i="14"/>
  <c r="DK19" i="14"/>
  <c r="DK31" i="14"/>
  <c r="DK37" i="14"/>
  <c r="DK30" i="14"/>
  <c r="DF28" i="14"/>
  <c r="DF23" i="14"/>
  <c r="DK38" i="14"/>
  <c r="DK17" i="14"/>
  <c r="DF35" i="14"/>
  <c r="DF34" i="14"/>
  <c r="DF30" i="14"/>
  <c r="DF44" i="14"/>
  <c r="DF40" i="14"/>
  <c r="DF46" i="14"/>
  <c r="DF45" i="14"/>
  <c r="DF27" i="14"/>
  <c r="DF43" i="14"/>
  <c r="DF19" i="14"/>
  <c r="DF20" i="14"/>
  <c r="DF16" i="14"/>
  <c r="DF18" i="14"/>
  <c r="DF22" i="14"/>
  <c r="DF37" i="14"/>
  <c r="DF15" i="14"/>
  <c r="DF38" i="14"/>
  <c r="DF36" i="14"/>
  <c r="DF32" i="14"/>
  <c r="DK26" i="14"/>
  <c r="DF26" i="14"/>
  <c r="DF14" i="14"/>
  <c r="DF21" i="14"/>
  <c r="DF24" i="14"/>
  <c r="DF31" i="14"/>
  <c r="DK35" i="14"/>
  <c r="DF33" i="14"/>
  <c r="DF17" i="14"/>
  <c r="DF29" i="14"/>
  <c r="DF42" i="14"/>
  <c r="DF25" i="14"/>
  <c r="DF41" i="14"/>
  <c r="DK41" i="14"/>
  <c r="DK21" i="14"/>
  <c r="DK16" i="14"/>
  <c r="DK24" i="14"/>
  <c r="DK44" i="14"/>
  <c r="DK46" i="14"/>
  <c r="DK28" i="14"/>
  <c r="DK45" i="14"/>
  <c r="DK39" i="14"/>
  <c r="DP36" i="14"/>
  <c r="DP20" i="14"/>
  <c r="DP32" i="14"/>
  <c r="DP16" i="14"/>
  <c r="DP22" i="14"/>
  <c r="DP43" i="14"/>
  <c r="DP38" i="14"/>
  <c r="DP39" i="14"/>
  <c r="DP27" i="14"/>
  <c r="DP23" i="14"/>
  <c r="DP41" i="14"/>
  <c r="DK20" i="14"/>
  <c r="DK27" i="14"/>
  <c r="DK25" i="14"/>
  <c r="DK40" i="14"/>
  <c r="DP33" i="14"/>
  <c r="DP15" i="14"/>
  <c r="DP25" i="14"/>
  <c r="DP26" i="14"/>
  <c r="DK36" i="14"/>
  <c r="DK34" i="14"/>
  <c r="DK29" i="14"/>
  <c r="DP34" i="14"/>
  <c r="DP35" i="14"/>
  <c r="DP46" i="14"/>
  <c r="DP21" i="14"/>
  <c r="DK23" i="14"/>
  <c r="DP28" i="14"/>
  <c r="DP37" i="14"/>
  <c r="DP29" i="14"/>
  <c r="DP18" i="14"/>
  <c r="DP44" i="14"/>
  <c r="DP14" i="14"/>
  <c r="DP40" i="14"/>
  <c r="DP30" i="14"/>
  <c r="DP31" i="14"/>
  <c r="DK33" i="14"/>
  <c r="DK42" i="14"/>
  <c r="DK18" i="14"/>
  <c r="LC48" i="14"/>
  <c r="LH48" i="14"/>
  <c r="KS48" i="14"/>
  <c r="KX48" i="14"/>
  <c r="G37" i="37"/>
  <c r="X7" i="3"/>
  <c r="DA48" i="14"/>
  <c r="W18" i="12" l="1"/>
  <c r="DP48" i="14"/>
  <c r="DF48" i="14"/>
  <c r="DK48" i="14"/>
  <c r="KX9" i="14"/>
  <c r="P23" i="37"/>
  <c r="P24" i="37"/>
  <c r="P9" i="37"/>
  <c r="P17" i="37"/>
  <c r="M17" i="37" s="1"/>
  <c r="X9" i="3"/>
  <c r="X10" i="3" s="1"/>
  <c r="AC9" i="3"/>
  <c r="AC10" i="3" s="1"/>
  <c r="W23" i="12" l="1"/>
  <c r="W24" i="12" s="1"/>
  <c r="W19" i="12"/>
  <c r="T18" i="12"/>
  <c r="T19" i="12" s="1"/>
  <c r="DF9" i="14"/>
  <c r="I12" i="47"/>
  <c r="I13" i="47" s="1"/>
  <c r="E17" i="47" s="1"/>
  <c r="E18" i="47" s="1"/>
  <c r="E19" i="47" s="1"/>
  <c r="E20" i="47" s="1"/>
  <c r="W7" i="47" s="1"/>
  <c r="AC38" i="3"/>
  <c r="AC35" i="3"/>
  <c r="AC16" i="3"/>
  <c r="AC40" i="3"/>
  <c r="AC14" i="3"/>
  <c r="AC28" i="3"/>
  <c r="AC29" i="3"/>
  <c r="AC20" i="3"/>
  <c r="AC21" i="3"/>
  <c r="AC22" i="3"/>
  <c r="AC17" i="3"/>
  <c r="AC18" i="3"/>
  <c r="AC13" i="3"/>
  <c r="AC19" i="3"/>
  <c r="AC32" i="3"/>
  <c r="AC23" i="3"/>
  <c r="AC37" i="3"/>
  <c r="AC39" i="3"/>
  <c r="AC31" i="3"/>
  <c r="AC25" i="3"/>
  <c r="AC36" i="3"/>
  <c r="AC27" i="3"/>
  <c r="AC30" i="3"/>
  <c r="AC24" i="3"/>
  <c r="AC33" i="3"/>
  <c r="AC34" i="3"/>
  <c r="AC26" i="3"/>
  <c r="AC12" i="3"/>
  <c r="AC15" i="3"/>
  <c r="P10" i="37"/>
  <c r="P18" i="37"/>
  <c r="M18" i="37" s="1"/>
  <c r="M23" i="37" s="1"/>
  <c r="X40" i="3"/>
  <c r="X13" i="3"/>
  <c r="X28" i="3"/>
  <c r="X41" i="3"/>
  <c r="X12" i="3"/>
  <c r="X22" i="3"/>
  <c r="X21" i="3"/>
  <c r="X39" i="3"/>
  <c r="X37" i="3"/>
  <c r="X33" i="3"/>
  <c r="X29" i="3"/>
  <c r="X19" i="3"/>
  <c r="X20" i="3"/>
  <c r="X16" i="3"/>
  <c r="X26" i="3"/>
  <c r="X25" i="3"/>
  <c r="X27" i="3"/>
  <c r="X46" i="3"/>
  <c r="X17" i="3"/>
  <c r="X43" i="3"/>
  <c r="X18" i="3"/>
  <c r="X14" i="3"/>
  <c r="X36" i="3"/>
  <c r="X35" i="3"/>
  <c r="X38" i="3"/>
  <c r="X34" i="3"/>
  <c r="X31" i="3"/>
  <c r="X42" i="3"/>
  <c r="X30" i="3"/>
  <c r="X45" i="3"/>
  <c r="X44" i="3"/>
  <c r="X15" i="3"/>
  <c r="X23" i="3"/>
  <c r="X24" i="3"/>
  <c r="X32" i="3"/>
  <c r="W23" i="47" l="1"/>
  <c r="W24" i="47"/>
  <c r="W17" i="47"/>
  <c r="T23" i="12"/>
  <c r="M19" i="37"/>
  <c r="P11" i="37"/>
  <c r="P19" i="37"/>
  <c r="Y24" i="40"/>
  <c r="M24" i="37"/>
  <c r="M33" i="37" s="1"/>
  <c r="E22" i="12"/>
  <c r="E24" i="12" s="1"/>
  <c r="C7" i="42"/>
  <c r="C9" i="42" s="1"/>
  <c r="G40" i="47"/>
  <c r="I20" i="47"/>
  <c r="E43" i="47"/>
  <c r="M18" i="47"/>
  <c r="X48" i="3"/>
  <c r="AC48" i="3"/>
  <c r="I14" i="22" l="1"/>
  <c r="D27" i="22" s="1"/>
  <c r="H27" i="47"/>
  <c r="M23" i="47"/>
  <c r="M19" i="47"/>
  <c r="T26" i="12"/>
  <c r="T27" i="12" s="1"/>
  <c r="T24" i="12"/>
  <c r="Y35" i="40"/>
  <c r="P26" i="47"/>
  <c r="P27" i="47" s="1"/>
  <c r="M32" i="37"/>
  <c r="M34" i="37"/>
  <c r="M35" i="37" s="1"/>
  <c r="T17" i="47"/>
  <c r="T23" i="47" s="1"/>
  <c r="AB4" i="10"/>
  <c r="AE4" i="10" s="1"/>
  <c r="B37" i="47"/>
  <c r="W8" i="47"/>
  <c r="EY9" i="14"/>
  <c r="EY11" i="14" s="1"/>
  <c r="EY12" i="14" s="1"/>
  <c r="EY38" i="14" s="1"/>
  <c r="AC7" i="3"/>
  <c r="I12" i="37" s="1"/>
  <c r="I13" i="37" s="1"/>
  <c r="E17" i="37" s="1"/>
  <c r="E18" i="37" s="1"/>
  <c r="W4" i="24" l="1"/>
  <c r="M24" i="47"/>
  <c r="D29" i="47"/>
  <c r="C31" i="47" s="1"/>
  <c r="D28" i="22"/>
  <c r="H28" i="47"/>
  <c r="T33" i="12"/>
  <c r="T32" i="12"/>
  <c r="T34" i="12"/>
  <c r="T35" i="12" s="1"/>
  <c r="M26" i="47"/>
  <c r="M27" i="47" s="1"/>
  <c r="EY21" i="14"/>
  <c r="LM9" i="14"/>
  <c r="EY32" i="14"/>
  <c r="EY17" i="14"/>
  <c r="EY31" i="14"/>
  <c r="EY37" i="14"/>
  <c r="EY44" i="14"/>
  <c r="EY36" i="14"/>
  <c r="EY33" i="14"/>
  <c r="EY28" i="14"/>
  <c r="EY23" i="14"/>
  <c r="EY16" i="14"/>
  <c r="EY24" i="14"/>
  <c r="EY45" i="14"/>
  <c r="EY40" i="14"/>
  <c r="EY26" i="14"/>
  <c r="EY35" i="14"/>
  <c r="EY18" i="14"/>
  <c r="EY43" i="14"/>
  <c r="EY27" i="14"/>
  <c r="EY30" i="14"/>
  <c r="EY25" i="14"/>
  <c r="EY39" i="14"/>
  <c r="EY41" i="14"/>
  <c r="EY14" i="14"/>
  <c r="EY29" i="14"/>
  <c r="EY46" i="14"/>
  <c r="EY34" i="14"/>
  <c r="EY22" i="14"/>
  <c r="EY15" i="14"/>
  <c r="EY20" i="14"/>
  <c r="EY19" i="14"/>
  <c r="EY42" i="14"/>
  <c r="M33" i="47" l="1"/>
  <c r="M34" i="47"/>
  <c r="M35" i="47" s="1"/>
  <c r="H29" i="47"/>
  <c r="H32" i="47" s="1"/>
  <c r="LR11" i="14"/>
  <c r="LR12" i="14" s="1"/>
  <c r="MB11" i="14"/>
  <c r="MB12" i="14" s="1"/>
  <c r="LM11" i="14"/>
  <c r="LM12" i="14" s="1"/>
  <c r="LW11" i="14"/>
  <c r="LW12" i="14" s="1"/>
  <c r="EY48" i="14"/>
  <c r="FD9" i="14" s="1"/>
  <c r="C14" i="42" s="1"/>
  <c r="C16" i="42" s="1"/>
  <c r="G31" i="47" l="1"/>
  <c r="T24" i="47"/>
  <c r="T26" i="47"/>
  <c r="T27" i="47" s="1"/>
  <c r="LR36" i="14"/>
  <c r="LR20" i="14"/>
  <c r="LR37" i="14"/>
  <c r="LR21" i="14"/>
  <c r="LR35" i="14"/>
  <c r="LR41" i="14"/>
  <c r="LR22" i="14"/>
  <c r="LR45" i="14"/>
  <c r="LR23" i="14"/>
  <c r="LR38" i="14"/>
  <c r="LR24" i="14"/>
  <c r="LR42" i="14"/>
  <c r="LR25" i="14"/>
  <c r="LR19" i="14"/>
  <c r="LR46" i="14"/>
  <c r="LR26" i="14"/>
  <c r="LR39" i="14"/>
  <c r="LR27" i="14"/>
  <c r="LR34" i="14"/>
  <c r="LR43" i="14"/>
  <c r="LR28" i="14"/>
  <c r="LR44" i="14"/>
  <c r="LR29" i="14"/>
  <c r="LR40" i="14"/>
  <c r="LR30" i="14"/>
  <c r="LR14" i="14"/>
  <c r="LR31" i="14"/>
  <c r="LR15" i="14"/>
  <c r="LR18" i="14"/>
  <c r="LR32" i="14"/>
  <c r="LR16" i="14"/>
  <c r="LR33" i="14"/>
  <c r="LR17" i="14"/>
  <c r="MB23" i="14"/>
  <c r="MB30" i="14"/>
  <c r="MB14" i="14"/>
  <c r="MB25" i="14"/>
  <c r="MB32" i="14"/>
  <c r="MB16" i="14"/>
  <c r="MB27" i="14"/>
  <c r="MB34" i="14"/>
  <c r="MB18" i="14"/>
  <c r="MB21" i="14"/>
  <c r="MB29" i="14"/>
  <c r="MB36" i="14"/>
  <c r="MB20" i="14"/>
  <c r="MB31" i="14"/>
  <c r="MB15" i="14"/>
  <c r="MB22" i="14"/>
  <c r="MB33" i="14"/>
  <c r="MB17" i="14"/>
  <c r="MB24" i="14"/>
  <c r="MB35" i="14"/>
  <c r="MB19" i="14"/>
  <c r="MB26" i="14"/>
  <c r="MB28" i="14"/>
  <c r="LM43" i="14"/>
  <c r="LM39" i="14"/>
  <c r="LM24" i="14"/>
  <c r="LM42" i="14"/>
  <c r="LM26" i="14"/>
  <c r="LM38" i="14"/>
  <c r="LM46" i="14"/>
  <c r="LM27" i="14"/>
  <c r="LM29" i="14"/>
  <c r="LM25" i="14"/>
  <c r="LM28" i="14"/>
  <c r="LM15" i="14"/>
  <c r="LM36" i="14"/>
  <c r="LM34" i="14"/>
  <c r="LM30" i="14"/>
  <c r="LM44" i="14"/>
  <c r="LM19" i="14"/>
  <c r="LM20" i="14"/>
  <c r="LM18" i="14"/>
  <c r="LM14" i="14"/>
  <c r="LM31" i="14"/>
  <c r="LM41" i="14"/>
  <c r="LM45" i="14"/>
  <c r="LM37" i="14"/>
  <c r="LM32" i="14"/>
  <c r="LM33" i="14"/>
  <c r="LM40" i="14"/>
  <c r="LM22" i="14"/>
  <c r="LM23" i="14"/>
  <c r="LM21" i="14"/>
  <c r="LM16" i="14"/>
  <c r="LM17" i="14"/>
  <c r="LM35" i="14"/>
  <c r="LW35" i="14"/>
  <c r="LW17" i="14"/>
  <c r="LW33" i="14"/>
  <c r="LW36" i="14"/>
  <c r="LW20" i="14"/>
  <c r="LW34" i="14"/>
  <c r="LW43" i="14"/>
  <c r="LW46" i="14"/>
  <c r="LW45" i="14"/>
  <c r="LW21" i="14"/>
  <c r="LW41" i="14"/>
  <c r="LW31" i="14"/>
  <c r="LW29" i="14"/>
  <c r="LW30" i="14"/>
  <c r="LW28" i="14"/>
  <c r="LW23" i="14"/>
  <c r="LW14" i="14"/>
  <c r="LW22" i="14"/>
  <c r="LW18" i="14"/>
  <c r="LW40" i="14"/>
  <c r="LW44" i="14"/>
  <c r="LW39" i="14"/>
  <c r="LW38" i="14"/>
  <c r="LW24" i="14"/>
  <c r="LW32" i="14"/>
  <c r="LW26" i="14"/>
  <c r="LW16" i="14"/>
  <c r="LW42" i="14"/>
  <c r="LW27" i="14"/>
  <c r="LW19" i="14"/>
  <c r="LW15" i="14"/>
  <c r="LW37" i="14"/>
  <c r="LW25" i="14"/>
  <c r="T33" i="47" l="1"/>
  <c r="T34" i="47"/>
  <c r="T35" i="47" s="1"/>
  <c r="LR48" i="14"/>
  <c r="LW48" i="14"/>
  <c r="LM48" i="14"/>
  <c r="MB48" i="14"/>
  <c r="LR9" i="14" l="1"/>
  <c r="G9" i="42" l="1"/>
  <c r="P8" i="22"/>
  <c r="P11" i="22" l="1"/>
  <c r="P20" i="22"/>
  <c r="P21" i="22"/>
  <c r="P10" i="22"/>
  <c r="HQ9" i="14"/>
  <c r="G37" i="22"/>
  <c r="GC9" i="14"/>
  <c r="Y22" i="40"/>
  <c r="P24" i="22" l="1"/>
  <c r="P23" i="22"/>
  <c r="P9" i="22"/>
  <c r="P17" i="22"/>
  <c r="M17" i="22" s="1"/>
  <c r="HQ11" i="14"/>
  <c r="HQ12" i="14" s="1"/>
  <c r="IA11" i="14"/>
  <c r="IA12" i="14" s="1"/>
  <c r="IF11" i="14"/>
  <c r="IF12" i="14" s="1"/>
  <c r="HV11" i="14"/>
  <c r="HV12" i="14" s="1"/>
  <c r="GM11" i="14"/>
  <c r="GM12" i="14" s="1"/>
  <c r="GR11" i="14"/>
  <c r="GR12" i="14" s="1"/>
  <c r="GH11" i="14"/>
  <c r="GH12" i="14" s="1"/>
  <c r="GC11" i="14"/>
  <c r="GC12" i="14" s="1"/>
  <c r="GR30" i="14" l="1"/>
  <c r="GR27" i="14"/>
  <c r="GR46" i="14"/>
  <c r="GR16" i="14"/>
  <c r="GR20" i="14"/>
  <c r="GR45" i="14"/>
  <c r="GR19" i="14"/>
  <c r="GR44" i="14"/>
  <c r="GR28" i="14"/>
  <c r="GR42" i="14"/>
  <c r="GR24" i="14"/>
  <c r="GR43" i="14"/>
  <c r="GR26" i="14"/>
  <c r="GR25" i="14"/>
  <c r="GR21" i="14"/>
  <c r="GR14" i="14"/>
  <c r="GR39" i="14"/>
  <c r="GR35" i="14"/>
  <c r="GR38" i="14"/>
  <c r="GR22" i="14"/>
  <c r="GR17" i="14"/>
  <c r="GR29" i="14"/>
  <c r="GR41" i="14"/>
  <c r="GR40" i="14"/>
  <c r="GR31" i="14"/>
  <c r="GR33" i="14"/>
  <c r="GR36" i="14"/>
  <c r="GR23" i="14"/>
  <c r="GR32" i="14"/>
  <c r="GR34" i="14"/>
  <c r="GR37" i="14"/>
  <c r="GR15" i="14"/>
  <c r="GR18" i="14"/>
  <c r="GH42" i="14"/>
  <c r="GH23" i="14"/>
  <c r="GH41" i="14"/>
  <c r="GH45" i="14"/>
  <c r="GH34" i="14"/>
  <c r="GH40" i="14"/>
  <c r="GH28" i="14"/>
  <c r="GH30" i="14"/>
  <c r="GH27" i="14"/>
  <c r="GH29" i="14"/>
  <c r="GH17" i="14"/>
  <c r="GH26" i="14"/>
  <c r="GH14" i="14"/>
  <c r="GH24" i="14"/>
  <c r="GH33" i="14"/>
  <c r="GH43" i="14"/>
  <c r="GH16" i="14"/>
  <c r="GH46" i="14"/>
  <c r="GH37" i="14"/>
  <c r="GH36" i="14"/>
  <c r="GH20" i="14"/>
  <c r="GH25" i="14"/>
  <c r="GH18" i="14"/>
  <c r="GH22" i="14"/>
  <c r="GH38" i="14"/>
  <c r="GH32" i="14"/>
  <c r="GH35" i="14"/>
  <c r="GH39" i="14"/>
  <c r="GH31" i="14"/>
  <c r="GH44" i="14"/>
  <c r="GH15" i="14"/>
  <c r="GH21" i="14"/>
  <c r="GH19" i="14"/>
  <c r="HQ14" i="14"/>
  <c r="HQ28" i="14"/>
  <c r="HQ39" i="14"/>
  <c r="HQ33" i="14"/>
  <c r="HQ38" i="14"/>
  <c r="HQ46" i="14"/>
  <c r="HQ17" i="14"/>
  <c r="HQ20" i="14"/>
  <c r="HQ43" i="14"/>
  <c r="HQ25" i="14"/>
  <c r="HQ22" i="14"/>
  <c r="HQ35" i="14"/>
  <c r="HQ23" i="14"/>
  <c r="HQ16" i="14"/>
  <c r="HQ36" i="14"/>
  <c r="HQ15" i="14"/>
  <c r="HQ27" i="14"/>
  <c r="HQ42" i="14"/>
  <c r="HQ40" i="14"/>
  <c r="HQ29" i="14"/>
  <c r="HQ30" i="14"/>
  <c r="HQ45" i="14"/>
  <c r="HQ19" i="14"/>
  <c r="HQ34" i="14"/>
  <c r="HQ32" i="14"/>
  <c r="HQ44" i="14"/>
  <c r="HQ18" i="14"/>
  <c r="HQ37" i="14"/>
  <c r="HQ31" i="14"/>
  <c r="HQ26" i="14"/>
  <c r="HQ24" i="14"/>
  <c r="HQ21" i="14"/>
  <c r="HQ41" i="14"/>
  <c r="P19" i="22"/>
  <c r="P18" i="22"/>
  <c r="GC25" i="14"/>
  <c r="GC21" i="14"/>
  <c r="GC17" i="14"/>
  <c r="GC34" i="14"/>
  <c r="GC40" i="14"/>
  <c r="GC23" i="14"/>
  <c r="GC46" i="14"/>
  <c r="GC20" i="14"/>
  <c r="GC38" i="14"/>
  <c r="GC19" i="14"/>
  <c r="GC35" i="14"/>
  <c r="GC42" i="14"/>
  <c r="GC15" i="14"/>
  <c r="GC43" i="14"/>
  <c r="GC31" i="14"/>
  <c r="GC26" i="14"/>
  <c r="GC29" i="14"/>
  <c r="GC18" i="14"/>
  <c r="GC14" i="14"/>
  <c r="GC39" i="14"/>
  <c r="GC16" i="14"/>
  <c r="GC37" i="14"/>
  <c r="GC32" i="14"/>
  <c r="GC41" i="14"/>
  <c r="GC44" i="14"/>
  <c r="GC30" i="14"/>
  <c r="GC36" i="14"/>
  <c r="GC33" i="14"/>
  <c r="GC28" i="14"/>
  <c r="GC24" i="14"/>
  <c r="GC22" i="14"/>
  <c r="GC27" i="14"/>
  <c r="GC45" i="14"/>
  <c r="IA14" i="14"/>
  <c r="IA37" i="14"/>
  <c r="IA19" i="14"/>
  <c r="IA42" i="14"/>
  <c r="IA16" i="14"/>
  <c r="IA29" i="14"/>
  <c r="IA39" i="14"/>
  <c r="IA34" i="14"/>
  <c r="IA46" i="14"/>
  <c r="IA17" i="14"/>
  <c r="IA24" i="14"/>
  <c r="IA21" i="14"/>
  <c r="IA44" i="14"/>
  <c r="IA26" i="14"/>
  <c r="IA41" i="14"/>
  <c r="IA40" i="14"/>
  <c r="IA27" i="14"/>
  <c r="IA36" i="14"/>
  <c r="IA18" i="14"/>
  <c r="IA33" i="14"/>
  <c r="IA38" i="14"/>
  <c r="IA15" i="14"/>
  <c r="IA28" i="14"/>
  <c r="IA23" i="14"/>
  <c r="IA25" i="14"/>
  <c r="IA31" i="14"/>
  <c r="IA20" i="14"/>
  <c r="IA43" i="14"/>
  <c r="IA30" i="14"/>
  <c r="IA35" i="14"/>
  <c r="IA22" i="14"/>
  <c r="IA32" i="14"/>
  <c r="IA45" i="14"/>
  <c r="IF27" i="14"/>
  <c r="IF23" i="14"/>
  <c r="IF35" i="14"/>
  <c r="IF21" i="14"/>
  <c r="IF19" i="14"/>
  <c r="IF24" i="14"/>
  <c r="IF15" i="14"/>
  <c r="IF32" i="14"/>
  <c r="IF26" i="14"/>
  <c r="IF29" i="14"/>
  <c r="IF34" i="14"/>
  <c r="IF25" i="14"/>
  <c r="IF28" i="14"/>
  <c r="IF36" i="14"/>
  <c r="IF14" i="14"/>
  <c r="IF30" i="14"/>
  <c r="IF20" i="14"/>
  <c r="IF31" i="14"/>
  <c r="IF17" i="14"/>
  <c r="IF16" i="14"/>
  <c r="IF22" i="14"/>
  <c r="IF18" i="14"/>
  <c r="IF33" i="14"/>
  <c r="HV14" i="14"/>
  <c r="HV36" i="14"/>
  <c r="HV28" i="14"/>
  <c r="HV22" i="14"/>
  <c r="HV41" i="14"/>
  <c r="HV23" i="14"/>
  <c r="HV37" i="14"/>
  <c r="HV24" i="14"/>
  <c r="HV44" i="14"/>
  <c r="HV20" i="14"/>
  <c r="HV43" i="14"/>
  <c r="HV33" i="14"/>
  <c r="HV15" i="14"/>
  <c r="HV19" i="14"/>
  <c r="HV46" i="14"/>
  <c r="HV30" i="14"/>
  <c r="HV38" i="14"/>
  <c r="HV35" i="14"/>
  <c r="HV25" i="14"/>
  <c r="HV40" i="14"/>
  <c r="HV42" i="14"/>
  <c r="HV26" i="14"/>
  <c r="HV31" i="14"/>
  <c r="HV45" i="14"/>
  <c r="HV27" i="14"/>
  <c r="HV17" i="14"/>
  <c r="HV32" i="14"/>
  <c r="HV18" i="14"/>
  <c r="HV29" i="14"/>
  <c r="HV39" i="14"/>
  <c r="HV34" i="14"/>
  <c r="HV16" i="14"/>
  <c r="HV21" i="14"/>
  <c r="GM34" i="14"/>
  <c r="GM26" i="14"/>
  <c r="GM28" i="14"/>
  <c r="GM33" i="14"/>
  <c r="GM44" i="14"/>
  <c r="GM24" i="14"/>
  <c r="GM29" i="14"/>
  <c r="GM18" i="14"/>
  <c r="GM22" i="14"/>
  <c r="GM16" i="14"/>
  <c r="GM31" i="14"/>
  <c r="GM23" i="14"/>
  <c r="GM30" i="14"/>
  <c r="GM39" i="14"/>
  <c r="GM36" i="14"/>
  <c r="GM27" i="14"/>
  <c r="GM43" i="14"/>
  <c r="GM45" i="14"/>
  <c r="GM35" i="14"/>
  <c r="GM38" i="14"/>
  <c r="GM37" i="14"/>
  <c r="GM19" i="14"/>
  <c r="GM25" i="14"/>
  <c r="GM15" i="14"/>
  <c r="GM14" i="14"/>
  <c r="GM46" i="14"/>
  <c r="GM42" i="14"/>
  <c r="GM32" i="14"/>
  <c r="GM21" i="14"/>
  <c r="GM40" i="14"/>
  <c r="GM17" i="14"/>
  <c r="GM41" i="14"/>
  <c r="GM20" i="14"/>
  <c r="GR48" i="14" l="1"/>
  <c r="M20" i="22"/>
  <c r="GM48" i="14"/>
  <c r="IF48" i="14"/>
  <c r="IA48" i="14"/>
  <c r="GC48" i="14"/>
  <c r="HV48" i="14"/>
  <c r="HQ48" i="14"/>
  <c r="GH48" i="14"/>
  <c r="M23" i="22" l="1"/>
  <c r="M21" i="22"/>
  <c r="GH9" i="14"/>
  <c r="G14" i="42" s="1"/>
  <c r="G16" i="42" s="1"/>
  <c r="HV9" i="14"/>
  <c r="I12" i="22" s="1"/>
  <c r="I13" i="22" s="1"/>
  <c r="M24" i="22" l="1"/>
  <c r="M32" i="22" s="1"/>
  <c r="D29" i="22"/>
  <c r="C31" i="22" s="1"/>
  <c r="C23" i="42"/>
  <c r="E14" i="13" s="1"/>
  <c r="M34" i="22" l="1"/>
  <c r="M35" i="22" s="1"/>
  <c r="M33" i="22"/>
  <c r="B40" i="13"/>
  <c r="W26" i="13"/>
  <c r="Y25" i="40"/>
  <c r="DU9" i="14"/>
  <c r="EJ11" i="14" s="1"/>
  <c r="EJ12" i="14" s="1"/>
  <c r="EJ32" i="14" s="1"/>
  <c r="W27" i="13" l="1"/>
  <c r="EJ35" i="14"/>
  <c r="EJ17" i="14"/>
  <c r="EJ28" i="14"/>
  <c r="EJ23" i="14"/>
  <c r="EJ25" i="14"/>
  <c r="EJ21" i="14"/>
  <c r="EJ41" i="14"/>
  <c r="EJ27" i="14"/>
  <c r="EJ46" i="14"/>
  <c r="EJ22" i="14"/>
  <c r="EJ26" i="14"/>
  <c r="EJ39" i="14"/>
  <c r="EE11" i="14"/>
  <c r="EE12" i="14" s="1"/>
  <c r="EE34" i="14" s="1"/>
  <c r="EJ19" i="14"/>
  <c r="EJ42" i="14"/>
  <c r="EJ30" i="14"/>
  <c r="EJ18" i="14"/>
  <c r="DZ11" i="14"/>
  <c r="DZ12" i="14" s="1"/>
  <c r="DZ41" i="14" s="1"/>
  <c r="EJ34" i="14"/>
  <c r="EJ44" i="14"/>
  <c r="EJ45" i="14"/>
  <c r="EJ15" i="14"/>
  <c r="EJ29" i="14"/>
  <c r="EJ16" i="14"/>
  <c r="EJ40" i="14"/>
  <c r="EJ37" i="14"/>
  <c r="EJ24" i="14"/>
  <c r="EJ33" i="14"/>
  <c r="EJ43" i="14"/>
  <c r="EJ20" i="14"/>
  <c r="DU11" i="14"/>
  <c r="DU12" i="14" s="1"/>
  <c r="DU40" i="14" s="1"/>
  <c r="EJ36" i="14"/>
  <c r="EJ38" i="14"/>
  <c r="EJ14" i="14"/>
  <c r="EJ31" i="14"/>
  <c r="EE44" i="14" l="1"/>
  <c r="EE30" i="14"/>
  <c r="EE26" i="14"/>
  <c r="EE39" i="14"/>
  <c r="EE15" i="14"/>
  <c r="EE31" i="14"/>
  <c r="EE20" i="14"/>
  <c r="EE24" i="14"/>
  <c r="EE37" i="14"/>
  <c r="EE22" i="14"/>
  <c r="EE25" i="14"/>
  <c r="EE46" i="14"/>
  <c r="EE38" i="14"/>
  <c r="EE23" i="14"/>
  <c r="EE32" i="14"/>
  <c r="DU25" i="14"/>
  <c r="EE16" i="14"/>
  <c r="DU43" i="14"/>
  <c r="EE43" i="14"/>
  <c r="EE27" i="14"/>
  <c r="EE28" i="14"/>
  <c r="EE21" i="14"/>
  <c r="EE29" i="14"/>
  <c r="EE33" i="14"/>
  <c r="EE41" i="14"/>
  <c r="EE45" i="14"/>
  <c r="DZ34" i="14"/>
  <c r="DZ17" i="14"/>
  <c r="DZ27" i="14"/>
  <c r="DZ23" i="14"/>
  <c r="DZ40" i="14"/>
  <c r="DZ35" i="14"/>
  <c r="DZ26" i="14"/>
  <c r="DZ38" i="14"/>
  <c r="DZ31" i="14"/>
  <c r="DZ37" i="14"/>
  <c r="DZ33" i="14"/>
  <c r="DZ25" i="14"/>
  <c r="DZ45" i="14"/>
  <c r="DZ24" i="14"/>
  <c r="DZ28" i="14"/>
  <c r="DZ19" i="14"/>
  <c r="DZ16" i="14"/>
  <c r="DZ21" i="14"/>
  <c r="DZ20" i="14"/>
  <c r="DZ46" i="14"/>
  <c r="DZ29" i="14"/>
  <c r="DZ39" i="14"/>
  <c r="DZ15" i="14"/>
  <c r="DZ36" i="14"/>
  <c r="DZ43" i="14"/>
  <c r="DZ18" i="14"/>
  <c r="DZ30" i="14"/>
  <c r="DU36" i="14"/>
  <c r="DZ32" i="14"/>
  <c r="DZ44" i="14"/>
  <c r="DZ42" i="14"/>
  <c r="DZ14" i="14"/>
  <c r="DZ22" i="14"/>
  <c r="EE18" i="14"/>
  <c r="EE35" i="14"/>
  <c r="EE14" i="14"/>
  <c r="EJ48" i="14"/>
  <c r="EE42" i="14"/>
  <c r="EE40" i="14"/>
  <c r="EE19" i="14"/>
  <c r="DU33" i="14"/>
  <c r="DU37" i="14"/>
  <c r="DU20" i="14"/>
  <c r="DU23" i="14"/>
  <c r="DU26" i="14"/>
  <c r="DU21" i="14"/>
  <c r="DU27" i="14"/>
  <c r="DU41" i="14"/>
  <c r="DU38" i="14"/>
  <c r="DU31" i="14"/>
  <c r="DU30" i="14"/>
  <c r="DU34" i="14"/>
  <c r="DU17" i="14"/>
  <c r="DU42" i="14"/>
  <c r="DU19" i="14"/>
  <c r="DU45" i="14"/>
  <c r="DU24" i="14"/>
  <c r="DU46" i="14"/>
  <c r="DU29" i="14"/>
  <c r="DU44" i="14"/>
  <c r="DU22" i="14"/>
  <c r="DU14" i="14"/>
  <c r="DU16" i="14"/>
  <c r="DU32" i="14"/>
  <c r="DU39" i="14"/>
  <c r="DU28" i="14"/>
  <c r="DU18" i="14"/>
  <c r="DU15" i="14"/>
  <c r="DU35" i="14"/>
  <c r="EE36" i="14"/>
  <c r="EE17" i="14"/>
  <c r="DZ48" i="14" l="1"/>
  <c r="EE48" i="14"/>
  <c r="DU48" i="14"/>
  <c r="DZ9" i="14" l="1"/>
  <c r="E12" i="13" s="1"/>
  <c r="E13" i="13" s="1"/>
  <c r="E17" i="13" s="1"/>
  <c r="E18" i="13" s="1"/>
  <c r="E19" i="13" s="1"/>
  <c r="E43" i="13" s="1"/>
  <c r="E20" i="13" l="1"/>
  <c r="W8" i="13" s="1"/>
  <c r="I20" i="13"/>
  <c r="Y29" i="40" l="1"/>
  <c r="P26" i="13"/>
  <c r="Y26" i="40"/>
  <c r="W9" i="13"/>
  <c r="P28" i="13"/>
  <c r="P29" i="13" s="1"/>
  <c r="I14" i="23"/>
  <c r="F21" i="13"/>
  <c r="G22" i="13" s="1"/>
  <c r="Y9" i="14"/>
  <c r="AD11" i="14" s="1"/>
  <c r="AD12" i="14" s="1"/>
  <c r="AD29" i="14" s="1"/>
  <c r="G40" i="13"/>
  <c r="BM9" i="14"/>
  <c r="CB11" i="14" s="1"/>
  <c r="CB12" i="14" s="1"/>
  <c r="CB25" i="14" s="1"/>
  <c r="M28" i="13"/>
  <c r="M29" i="13" s="1"/>
  <c r="H27" i="13"/>
  <c r="H28" i="13" s="1"/>
  <c r="B37" i="13"/>
  <c r="W10" i="13" l="1"/>
  <c r="W19" i="13" s="1"/>
  <c r="T19" i="13" s="1"/>
  <c r="Z20" i="13" s="1"/>
  <c r="W21" i="13"/>
  <c r="P27" i="13"/>
  <c r="M26" i="13"/>
  <c r="M27" i="13" s="1"/>
  <c r="P7" i="23"/>
  <c r="P8" i="23" s="1"/>
  <c r="P9" i="23" s="1"/>
  <c r="P10" i="23" s="1"/>
  <c r="G34" i="23"/>
  <c r="AI11" i="14"/>
  <c r="AI12" i="14" s="1"/>
  <c r="AI39" i="14" s="1"/>
  <c r="AD34" i="14"/>
  <c r="AD42" i="14"/>
  <c r="AD32" i="14"/>
  <c r="AD24" i="14"/>
  <c r="AN11" i="14"/>
  <c r="AN12" i="14" s="1"/>
  <c r="AN26" i="14" s="1"/>
  <c r="AD45" i="14"/>
  <c r="AD22" i="14"/>
  <c r="AD30" i="14"/>
  <c r="AD41" i="14"/>
  <c r="AD35" i="14"/>
  <c r="AD25" i="14"/>
  <c r="AD43" i="14"/>
  <c r="AD44" i="14"/>
  <c r="AD23" i="14"/>
  <c r="AD40" i="14"/>
  <c r="AD33" i="14"/>
  <c r="AD46" i="14"/>
  <c r="AD19" i="14"/>
  <c r="AD16" i="14"/>
  <c r="AD17" i="14"/>
  <c r="AD26" i="14"/>
  <c r="AD31" i="14"/>
  <c r="AS9" i="14"/>
  <c r="BC11" i="14" s="1"/>
  <c r="BC12" i="14" s="1"/>
  <c r="AD15" i="14"/>
  <c r="AD28" i="14"/>
  <c r="AD18" i="14"/>
  <c r="D25" i="23"/>
  <c r="D26" i="23" s="1"/>
  <c r="AD38" i="14"/>
  <c r="AD37" i="14"/>
  <c r="AD20" i="14"/>
  <c r="CB15" i="14"/>
  <c r="CB35" i="14"/>
  <c r="AD21" i="14"/>
  <c r="AD36" i="14"/>
  <c r="AD14" i="14"/>
  <c r="AD27" i="14"/>
  <c r="CB34" i="14"/>
  <c r="CB30" i="14"/>
  <c r="CB17" i="14"/>
  <c r="CB24" i="14"/>
  <c r="CB39" i="14"/>
  <c r="CB40" i="14"/>
  <c r="CB37" i="14"/>
  <c r="CB28" i="14"/>
  <c r="CB32" i="14"/>
  <c r="CB27" i="14"/>
  <c r="CB45" i="14"/>
  <c r="CB44" i="14"/>
  <c r="CB14" i="14"/>
  <c r="CB16" i="14"/>
  <c r="AD39" i="14"/>
  <c r="CB41" i="14"/>
  <c r="Y11" i="14"/>
  <c r="Y12" i="14" s="1"/>
  <c r="Y31" i="14" s="1"/>
  <c r="CB29" i="14"/>
  <c r="CB22" i="14"/>
  <c r="CB36" i="14"/>
  <c r="CB43" i="14"/>
  <c r="CB23" i="14"/>
  <c r="BM11" i="14"/>
  <c r="BM12" i="14" s="1"/>
  <c r="BM44" i="14" s="1"/>
  <c r="CB20" i="14"/>
  <c r="BR11" i="14"/>
  <c r="BR12" i="14" s="1"/>
  <c r="BR41" i="14" s="1"/>
  <c r="CB31" i="14"/>
  <c r="CB19" i="14"/>
  <c r="CB33" i="14"/>
  <c r="BW11" i="14"/>
  <c r="BW12" i="14" s="1"/>
  <c r="BW24" i="14" s="1"/>
  <c r="CB18" i="14"/>
  <c r="CB46" i="14"/>
  <c r="CB38" i="14"/>
  <c r="CB26" i="14"/>
  <c r="CB42" i="14"/>
  <c r="CB21" i="14"/>
  <c r="W11" i="13" l="1"/>
  <c r="W17" i="13" s="1"/>
  <c r="T17" i="13" s="1"/>
  <c r="Z18" i="13" s="1"/>
  <c r="H29" i="13"/>
  <c r="H32" i="13" s="1"/>
  <c r="P16" i="23"/>
  <c r="M16" i="23" s="1"/>
  <c r="P31" i="23"/>
  <c r="P22" i="23"/>
  <c r="P23" i="23" s="1"/>
  <c r="P17" i="23"/>
  <c r="M17" i="23" s="1"/>
  <c r="P18" i="23"/>
  <c r="M18" i="23" s="1"/>
  <c r="AN41" i="14"/>
  <c r="AN20" i="14"/>
  <c r="AN19" i="14"/>
  <c r="AN25" i="14"/>
  <c r="AN24" i="14"/>
  <c r="AN16" i="14"/>
  <c r="AN37" i="14"/>
  <c r="AN28" i="14"/>
  <c r="AN39" i="14"/>
  <c r="AN43" i="14"/>
  <c r="AX11" i="14"/>
  <c r="AX12" i="14" s="1"/>
  <c r="AX16" i="14" s="1"/>
  <c r="AN18" i="14"/>
  <c r="AN38" i="14"/>
  <c r="AN42" i="14"/>
  <c r="AN17" i="14"/>
  <c r="AN31" i="14"/>
  <c r="AN46" i="14"/>
  <c r="AN40" i="14"/>
  <c r="AN30" i="14"/>
  <c r="AN21" i="14"/>
  <c r="AN29" i="14"/>
  <c r="AN22" i="14"/>
  <c r="AN34" i="14"/>
  <c r="AN35" i="14"/>
  <c r="AN14" i="14"/>
  <c r="AN36" i="14"/>
  <c r="AN44" i="14"/>
  <c r="AN45" i="14"/>
  <c r="AN33" i="14"/>
  <c r="AN32" i="14"/>
  <c r="AN27" i="14"/>
  <c r="AN15" i="14"/>
  <c r="AN23" i="14"/>
  <c r="Y22" i="14"/>
  <c r="AI37" i="14"/>
  <c r="AI42" i="14"/>
  <c r="AI23" i="14"/>
  <c r="AI21" i="14"/>
  <c r="AI18" i="14"/>
  <c r="AI41" i="14"/>
  <c r="AI34" i="14"/>
  <c r="AI24" i="14"/>
  <c r="AI44" i="14"/>
  <c r="AI28" i="14"/>
  <c r="AI26" i="14"/>
  <c r="AI25" i="14"/>
  <c r="AI40" i="14"/>
  <c r="AI29" i="14"/>
  <c r="AI22" i="14"/>
  <c r="AI43" i="14"/>
  <c r="AI17" i="14"/>
  <c r="AI46" i="14"/>
  <c r="AI20" i="14"/>
  <c r="AI35" i="14"/>
  <c r="AI16" i="14"/>
  <c r="AI15" i="14"/>
  <c r="AI32" i="14"/>
  <c r="AI19" i="14"/>
  <c r="AI14" i="14"/>
  <c r="AI27" i="14"/>
  <c r="AI33" i="14"/>
  <c r="AI38" i="14"/>
  <c r="AI30" i="14"/>
  <c r="AI45" i="14"/>
  <c r="AI31" i="14"/>
  <c r="AI36" i="14"/>
  <c r="BH11" i="14"/>
  <c r="BH12" i="14" s="1"/>
  <c r="BH23" i="14" s="1"/>
  <c r="AS11" i="14"/>
  <c r="AS12" i="14" s="1"/>
  <c r="AS27" i="14" s="1"/>
  <c r="Y35" i="14"/>
  <c r="Y27" i="14"/>
  <c r="Y19" i="14"/>
  <c r="Y20" i="14"/>
  <c r="BW26" i="14"/>
  <c r="BW46" i="14"/>
  <c r="BM20" i="14"/>
  <c r="BW20" i="14"/>
  <c r="BM18" i="14"/>
  <c r="Y40" i="14"/>
  <c r="BW21" i="14"/>
  <c r="BW42" i="14"/>
  <c r="AD48" i="14"/>
  <c r="BM30" i="14"/>
  <c r="BM34" i="14"/>
  <c r="BM25" i="14"/>
  <c r="Y32" i="14"/>
  <c r="BW23" i="14"/>
  <c r="BW43" i="14"/>
  <c r="BW25" i="14"/>
  <c r="BR46" i="14"/>
  <c r="BM46" i="14"/>
  <c r="BW41" i="14"/>
  <c r="Y28" i="14"/>
  <c r="Y15" i="14"/>
  <c r="BM37" i="14"/>
  <c r="BW32" i="14"/>
  <c r="BM29" i="14"/>
  <c r="Y18" i="14"/>
  <c r="BW15" i="14"/>
  <c r="BM23" i="14"/>
  <c r="Y39" i="14"/>
  <c r="BW35" i="14"/>
  <c r="BM42" i="14"/>
  <c r="BM38" i="14"/>
  <c r="Y37" i="14"/>
  <c r="BW30" i="14"/>
  <c r="BR21" i="14"/>
  <c r="BR19" i="14"/>
  <c r="BR35" i="14"/>
  <c r="BR24" i="14"/>
  <c r="BR43" i="14"/>
  <c r="Y24" i="14"/>
  <c r="Y21" i="14"/>
  <c r="Y43" i="14"/>
  <c r="Y38" i="14"/>
  <c r="Y41" i="14"/>
  <c r="Y36" i="14"/>
  <c r="Y16" i="14"/>
  <c r="Y46" i="14"/>
  <c r="Y26" i="14"/>
  <c r="Y33" i="14"/>
  <c r="Y17" i="14"/>
  <c r="Y44" i="14"/>
  <c r="Y34" i="14"/>
  <c r="Y14" i="14"/>
  <c r="Y45" i="14"/>
  <c r="Y23" i="14"/>
  <c r="Y30" i="14"/>
  <c r="Y25" i="14"/>
  <c r="Y29" i="14"/>
  <c r="Y42" i="14"/>
  <c r="BR31" i="14"/>
  <c r="BR23" i="14"/>
  <c r="BR33" i="14"/>
  <c r="BR39" i="14"/>
  <c r="BR18" i="14"/>
  <c r="BR16" i="14"/>
  <c r="BR44" i="14"/>
  <c r="BR15" i="14"/>
  <c r="BR40" i="14"/>
  <c r="BR38" i="14"/>
  <c r="BR37" i="14"/>
  <c r="BR27" i="14"/>
  <c r="BR25" i="14"/>
  <c r="BR14" i="14"/>
  <c r="BR36" i="14"/>
  <c r="BR17" i="14"/>
  <c r="BR34" i="14"/>
  <c r="BR22" i="14"/>
  <c r="BR42" i="14"/>
  <c r="BR20" i="14"/>
  <c r="BR29" i="14"/>
  <c r="BR30" i="14"/>
  <c r="BW39" i="14"/>
  <c r="BW19" i="14"/>
  <c r="BW22" i="14"/>
  <c r="BW16" i="14"/>
  <c r="BW29" i="14"/>
  <c r="BW44" i="14"/>
  <c r="BW38" i="14"/>
  <c r="BW17" i="14"/>
  <c r="BW40" i="14"/>
  <c r="BW31" i="14"/>
  <c r="BW28" i="14"/>
  <c r="BW34" i="14"/>
  <c r="BW27" i="14"/>
  <c r="BW33" i="14"/>
  <c r="BW36" i="14"/>
  <c r="BW18" i="14"/>
  <c r="BW37" i="14"/>
  <c r="BW45" i="14"/>
  <c r="BW14" i="14"/>
  <c r="BM22" i="14"/>
  <c r="BM43" i="14"/>
  <c r="BM17" i="14"/>
  <c r="BM36" i="14"/>
  <c r="BM16" i="14"/>
  <c r="BM45" i="14"/>
  <c r="BM39" i="14"/>
  <c r="BM15" i="14"/>
  <c r="BM28" i="14"/>
  <c r="BM14" i="14"/>
  <c r="BM33" i="14"/>
  <c r="BM24" i="14"/>
  <c r="BM35" i="14"/>
  <c r="BM26" i="14"/>
  <c r="BM41" i="14"/>
  <c r="BM21" i="14"/>
  <c r="BM40" i="14"/>
  <c r="BM27" i="14"/>
  <c r="BM32" i="14"/>
  <c r="BM31" i="14"/>
  <c r="BM19" i="14"/>
  <c r="BR45" i="14"/>
  <c r="BR32" i="14"/>
  <c r="BR28" i="14"/>
  <c r="BR26" i="14"/>
  <c r="CB48" i="14"/>
  <c r="BC29" i="14"/>
  <c r="BC25" i="14"/>
  <c r="BC17" i="14"/>
  <c r="BC30" i="14"/>
  <c r="BC33" i="14"/>
  <c r="BC35" i="14"/>
  <c r="BC22" i="14"/>
  <c r="BC37" i="14"/>
  <c r="BC18" i="14"/>
  <c r="BC19" i="14"/>
  <c r="BC20" i="14"/>
  <c r="BC27" i="14"/>
  <c r="BC28" i="14"/>
  <c r="BC44" i="14"/>
  <c r="BC42" i="14"/>
  <c r="BC16" i="14"/>
  <c r="BC40" i="14"/>
  <c r="BC21" i="14"/>
  <c r="BC41" i="14"/>
  <c r="BC45" i="14"/>
  <c r="BC24" i="14"/>
  <c r="BC39" i="14"/>
  <c r="BC43" i="14"/>
  <c r="BC38" i="14"/>
  <c r="BC32" i="14"/>
  <c r="BC31" i="14"/>
  <c r="BC15" i="14"/>
  <c r="BC34" i="14"/>
  <c r="BC23" i="14"/>
  <c r="BC14" i="14"/>
  <c r="BC36" i="14"/>
  <c r="BC46" i="14"/>
  <c r="BC26" i="14"/>
  <c r="P11" i="23"/>
  <c r="P19" i="23"/>
  <c r="M19" i="23" s="1"/>
  <c r="M20" i="23" l="1"/>
  <c r="P12" i="23"/>
  <c r="P13" i="23" s="1"/>
  <c r="P14" i="23" s="1"/>
  <c r="P20" i="23"/>
  <c r="W18" i="13"/>
  <c r="W23" i="13" s="1"/>
  <c r="W24" i="13" s="1"/>
  <c r="W12" i="13"/>
  <c r="W13" i="13" s="1"/>
  <c r="G31" i="13"/>
  <c r="AS38" i="14"/>
  <c r="M22" i="23"/>
  <c r="M23" i="23" s="1"/>
  <c r="AX24" i="14"/>
  <c r="AX17" i="14"/>
  <c r="AX38" i="14"/>
  <c r="AX35" i="14"/>
  <c r="AX22" i="14"/>
  <c r="AX20" i="14"/>
  <c r="AX19" i="14"/>
  <c r="AX41" i="14"/>
  <c r="AX40" i="14"/>
  <c r="AX14" i="14"/>
  <c r="AX21" i="14"/>
  <c r="AX28" i="14"/>
  <c r="AX45" i="14"/>
  <c r="AX26" i="14"/>
  <c r="AX18" i="14"/>
  <c r="AX39" i="14"/>
  <c r="AX36" i="14"/>
  <c r="AX34" i="14"/>
  <c r="AX15" i="14"/>
  <c r="AX31" i="14"/>
  <c r="AX42" i="14"/>
  <c r="AX46" i="14"/>
  <c r="AX27" i="14"/>
  <c r="AX29" i="14"/>
  <c r="AX43" i="14"/>
  <c r="AX32" i="14"/>
  <c r="AX23" i="14"/>
  <c r="AX44" i="14"/>
  <c r="AX25" i="14"/>
  <c r="AX30" i="14"/>
  <c r="AX33" i="14"/>
  <c r="AX37" i="14"/>
  <c r="AN48" i="14"/>
  <c r="AS45" i="14"/>
  <c r="AS39" i="14"/>
  <c r="AS40" i="14"/>
  <c r="BH29" i="14"/>
  <c r="BH22" i="14"/>
  <c r="BH25" i="14"/>
  <c r="BH32" i="14"/>
  <c r="BH27" i="14"/>
  <c r="BH28" i="14"/>
  <c r="AS32" i="14"/>
  <c r="AS18" i="14"/>
  <c r="AS17" i="14"/>
  <c r="AS20" i="14"/>
  <c r="AS31" i="14"/>
  <c r="AS42" i="14"/>
  <c r="AS24" i="14"/>
  <c r="AS26" i="14"/>
  <c r="AS43" i="14"/>
  <c r="AS22" i="14"/>
  <c r="AS46" i="14"/>
  <c r="AS34" i="14"/>
  <c r="AS41" i="14"/>
  <c r="AS14" i="14"/>
  <c r="AS36" i="14"/>
  <c r="AS21" i="14"/>
  <c r="AS25" i="14"/>
  <c r="AS28" i="14"/>
  <c r="AS33" i="14"/>
  <c r="AS44" i="14"/>
  <c r="AS23" i="14"/>
  <c r="AS37" i="14"/>
  <c r="AS29" i="14"/>
  <c r="AS30" i="14"/>
  <c r="AS19" i="14"/>
  <c r="AS15" i="14"/>
  <c r="AS35" i="14"/>
  <c r="AS16" i="14"/>
  <c r="AI48" i="14"/>
  <c r="BH21" i="14"/>
  <c r="BH24" i="14"/>
  <c r="BH26" i="14"/>
  <c r="BH36" i="14"/>
  <c r="BH33" i="14"/>
  <c r="BH17" i="14"/>
  <c r="BH35" i="14"/>
  <c r="BH15" i="14"/>
  <c r="BH16" i="14"/>
  <c r="BH20" i="14"/>
  <c r="BH19" i="14"/>
  <c r="BH34" i="14"/>
  <c r="BH14" i="14"/>
  <c r="BH30" i="14"/>
  <c r="BH31" i="14"/>
  <c r="BH18" i="14"/>
  <c r="Y48" i="14"/>
  <c r="BM48" i="14"/>
  <c r="BW48" i="14"/>
  <c r="BR48" i="14"/>
  <c r="BC48" i="14"/>
  <c r="T18" i="13" l="1"/>
  <c r="Z19" i="13" s="1"/>
  <c r="D27" i="23"/>
  <c r="C29" i="23" s="1"/>
  <c r="M31" i="23"/>
  <c r="M34" i="23" s="1"/>
  <c r="M35" i="23" s="1"/>
  <c r="AX48" i="14"/>
  <c r="AS48" i="14"/>
  <c r="AD9" i="14"/>
  <c r="E22" i="13" s="1"/>
  <c r="E24" i="13" s="1"/>
  <c r="BH48" i="14"/>
  <c r="BR9" i="14"/>
  <c r="T37" i="13" s="1"/>
  <c r="D5" i="25" s="1"/>
  <c r="T23" i="13" l="1"/>
  <c r="T26" i="13" s="1"/>
  <c r="T27" i="13" s="1"/>
  <c r="T21" i="13"/>
  <c r="C36" i="24"/>
  <c r="M32" i="23"/>
  <c r="M33" i="23"/>
  <c r="AX9" i="14"/>
  <c r="I12" i="23" s="1"/>
  <c r="I13" i="23" s="1"/>
  <c r="E17" i="23" s="1"/>
  <c r="E18" i="23" s="1"/>
  <c r="E19" i="23" s="1"/>
  <c r="E40" i="23" s="1"/>
  <c r="AB5" i="10"/>
  <c r="AE5" i="10" s="1"/>
  <c r="D16" i="25"/>
  <c r="O3" i="25" s="1"/>
  <c r="W5" i="24" l="1"/>
  <c r="T24" i="13"/>
  <c r="T32" i="13" s="1"/>
  <c r="I20" i="23"/>
  <c r="E20" i="23"/>
  <c r="E22" i="23" s="1"/>
  <c r="G37" i="23" s="1"/>
  <c r="T34" i="13" l="1"/>
  <c r="T35" i="13" s="1"/>
  <c r="T33" i="13"/>
  <c r="M28" i="23"/>
  <c r="P25" i="23"/>
  <c r="P26" i="23" s="1"/>
  <c r="W7" i="23"/>
  <c r="M25" i="23"/>
  <c r="M26" i="23" s="1"/>
  <c r="P28" i="23"/>
  <c r="H25" i="23"/>
  <c r="M29" i="23" l="1"/>
  <c r="W16" i="23"/>
  <c r="W22" i="23"/>
  <c r="H27" i="23"/>
  <c r="H30" i="23" s="1"/>
  <c r="I21" i="23" s="1"/>
  <c r="H26" i="23"/>
  <c r="W8" i="23"/>
  <c r="W23" i="23" s="1"/>
  <c r="I14" i="44" l="1"/>
  <c r="B34" i="23"/>
  <c r="E14" i="37" s="1"/>
  <c r="Y10" i="40"/>
  <c r="E36" i="24"/>
  <c r="G29" i="23"/>
  <c r="B40" i="37" l="1"/>
  <c r="W26" i="37"/>
  <c r="G34" i="44"/>
  <c r="Y30" i="40"/>
  <c r="E19" i="37"/>
  <c r="E43" i="37" s="1"/>
  <c r="JE9" i="14"/>
  <c r="JO11" i="14" s="1"/>
  <c r="JO12" i="14" s="1"/>
  <c r="P7" i="44"/>
  <c r="P16" i="44" s="1"/>
  <c r="M16" i="44" s="1"/>
  <c r="D25" i="44"/>
  <c r="D26" i="44" s="1"/>
  <c r="W27" i="37" l="1"/>
  <c r="I20" i="37"/>
  <c r="E20" i="37"/>
  <c r="Y11" i="40" s="1"/>
  <c r="P8" i="44"/>
  <c r="P9" i="44" s="1"/>
  <c r="P18" i="44" s="1"/>
  <c r="P22" i="44"/>
  <c r="P23" i="44" s="1"/>
  <c r="P31" i="44"/>
  <c r="JJ11" i="14"/>
  <c r="JJ12" i="14" s="1"/>
  <c r="JJ45" i="14" s="1"/>
  <c r="JT11" i="14"/>
  <c r="JT12" i="14" s="1"/>
  <c r="JT20" i="14" s="1"/>
  <c r="JE11" i="14"/>
  <c r="JE12" i="14" s="1"/>
  <c r="JE14" i="14" s="1"/>
  <c r="JO37" i="14"/>
  <c r="JO23" i="14"/>
  <c r="JO38" i="14"/>
  <c r="JO19" i="14"/>
  <c r="JO17" i="14"/>
  <c r="JO14" i="14"/>
  <c r="JO15" i="14"/>
  <c r="JO16" i="14"/>
  <c r="JO22" i="14"/>
  <c r="JO41" i="14"/>
  <c r="JO36" i="14"/>
  <c r="JO29" i="14"/>
  <c r="JO39" i="14"/>
  <c r="JO45" i="14"/>
  <c r="JO20" i="14"/>
  <c r="JO18" i="14"/>
  <c r="JO25" i="14"/>
  <c r="JO24" i="14"/>
  <c r="JO42" i="14"/>
  <c r="JO33" i="14"/>
  <c r="JO43" i="14"/>
  <c r="JO26" i="14"/>
  <c r="JO28" i="14"/>
  <c r="JO31" i="14"/>
  <c r="JO21" i="14"/>
  <c r="JO30" i="14"/>
  <c r="JO40" i="14"/>
  <c r="JO27" i="14"/>
  <c r="JO46" i="14"/>
  <c r="JO34" i="14"/>
  <c r="JO35" i="14"/>
  <c r="JO44" i="14"/>
  <c r="JO32" i="14"/>
  <c r="P26" i="37" l="1"/>
  <c r="M26" i="37" s="1"/>
  <c r="M27" i="37" s="1"/>
  <c r="D29" i="37" s="1"/>
  <c r="C31" i="37" s="1"/>
  <c r="H27" i="37"/>
  <c r="B37" i="37"/>
  <c r="Y8" i="40"/>
  <c r="JJ37" i="14"/>
  <c r="JJ22" i="14"/>
  <c r="D10" i="25"/>
  <c r="W8" i="37"/>
  <c r="T34" i="37" s="1"/>
  <c r="T35" i="37" s="1"/>
  <c r="G40" i="37"/>
  <c r="JJ33" i="14"/>
  <c r="JJ30" i="14"/>
  <c r="JJ29" i="14"/>
  <c r="P17" i="44"/>
  <c r="M17" i="44" s="1"/>
  <c r="JT30" i="14"/>
  <c r="JT27" i="14"/>
  <c r="JJ34" i="14"/>
  <c r="JJ17" i="14"/>
  <c r="JJ27" i="14"/>
  <c r="JJ24" i="14"/>
  <c r="JJ16" i="14"/>
  <c r="JJ42" i="14"/>
  <c r="JJ41" i="14"/>
  <c r="JT19" i="14"/>
  <c r="JT17" i="14"/>
  <c r="JT14" i="14"/>
  <c r="JT26" i="14"/>
  <c r="JT15" i="14"/>
  <c r="JT16" i="14"/>
  <c r="JT18" i="14"/>
  <c r="JT29" i="14"/>
  <c r="JJ23" i="14"/>
  <c r="JJ15" i="14"/>
  <c r="JJ40" i="14"/>
  <c r="JJ19" i="14"/>
  <c r="JJ46" i="14"/>
  <c r="JJ38" i="14"/>
  <c r="JJ14" i="14"/>
  <c r="JJ36" i="14"/>
  <c r="JJ44" i="14"/>
  <c r="JJ35" i="14"/>
  <c r="JJ21" i="14"/>
  <c r="JJ43" i="14"/>
  <c r="JJ20" i="14"/>
  <c r="JE45" i="14"/>
  <c r="JE30" i="14"/>
  <c r="JE20" i="14"/>
  <c r="JE16" i="14"/>
  <c r="JE37" i="14"/>
  <c r="JE28" i="14"/>
  <c r="JE19" i="14"/>
  <c r="JE44" i="14"/>
  <c r="JE40" i="14"/>
  <c r="JE34" i="14"/>
  <c r="JE43" i="14"/>
  <c r="JE35" i="14"/>
  <c r="JE25" i="14"/>
  <c r="JE46" i="14"/>
  <c r="JE31" i="14"/>
  <c r="JE22" i="14"/>
  <c r="JE38" i="14"/>
  <c r="JE23" i="14"/>
  <c r="JE41" i="14"/>
  <c r="JE33" i="14"/>
  <c r="JE39" i="14"/>
  <c r="JE27" i="14"/>
  <c r="JT23" i="14"/>
  <c r="JE15" i="14"/>
  <c r="JE24" i="14"/>
  <c r="JE29" i="14"/>
  <c r="JT35" i="14"/>
  <c r="JT32" i="14"/>
  <c r="JT24" i="14"/>
  <c r="JT25" i="14"/>
  <c r="JT31" i="14"/>
  <c r="JT28" i="14"/>
  <c r="JJ26" i="14"/>
  <c r="JJ25" i="14"/>
  <c r="JJ31" i="14"/>
  <c r="JJ39" i="14"/>
  <c r="JE26" i="14"/>
  <c r="JE17" i="14"/>
  <c r="JE21" i="14"/>
  <c r="JE32" i="14"/>
  <c r="JT33" i="14"/>
  <c r="JT34" i="14"/>
  <c r="JT36" i="14"/>
  <c r="JJ28" i="14"/>
  <c r="JJ18" i="14"/>
  <c r="JJ32" i="14"/>
  <c r="JE18" i="14"/>
  <c r="JE36" i="14"/>
  <c r="JE42" i="14"/>
  <c r="JT22" i="14"/>
  <c r="JT21" i="14"/>
  <c r="P10" i="44"/>
  <c r="P19" i="44"/>
  <c r="M18" i="44" s="1"/>
  <c r="JO48" i="14"/>
  <c r="H28" i="37" l="1"/>
  <c r="H29" i="37"/>
  <c r="P27" i="37"/>
  <c r="T32" i="37"/>
  <c r="W24" i="37"/>
  <c r="D13" i="25"/>
  <c r="D18" i="25" s="1"/>
  <c r="D20" i="25" s="1"/>
  <c r="Q31" i="25"/>
  <c r="W9" i="37"/>
  <c r="W17" i="37"/>
  <c r="W23" i="37"/>
  <c r="T26" i="37" s="1"/>
  <c r="T27" i="37" s="1"/>
  <c r="T33" i="37"/>
  <c r="JJ48" i="14"/>
  <c r="JT48" i="14"/>
  <c r="JE48" i="14"/>
  <c r="P11" i="44"/>
  <c r="P12" i="44" s="1"/>
  <c r="P13" i="44" s="1"/>
  <c r="P14" i="44" s="1"/>
  <c r="P20" i="44"/>
  <c r="M19" i="44" s="1"/>
  <c r="M22" i="44" s="1"/>
  <c r="M23" i="44" s="1"/>
  <c r="G31" i="37" l="1"/>
  <c r="M20" i="44"/>
  <c r="AB6" i="10"/>
  <c r="AE6" i="10" s="1"/>
  <c r="K31" i="25"/>
  <c r="JJ9" i="14"/>
  <c r="I12" i="44" s="1"/>
  <c r="I13" i="44" s="1"/>
  <c r="E17" i="44" s="1"/>
  <c r="E18" i="44" s="1"/>
  <c r="E19" i="44" s="1"/>
  <c r="I20" i="44" s="1"/>
  <c r="M31" i="44"/>
  <c r="D27" i="44"/>
  <c r="W6" i="24" l="1"/>
  <c r="M25" i="44"/>
  <c r="M26" i="44" s="1"/>
  <c r="E20" i="44"/>
  <c r="E22" i="44" s="1"/>
  <c r="G37" i="44" s="1"/>
  <c r="E40" i="44"/>
  <c r="M34" i="44"/>
  <c r="M35" i="44" s="1"/>
  <c r="M32" i="44"/>
  <c r="M33" i="44"/>
  <c r="C37" i="24"/>
  <c r="C29" i="44"/>
  <c r="H25" i="44"/>
  <c r="H26" i="44" s="1"/>
  <c r="P25" i="44"/>
  <c r="P26" i="44" s="1"/>
  <c r="P28" i="44"/>
  <c r="M28" i="44"/>
  <c r="W7" i="44" l="1"/>
  <c r="H27" i="44"/>
  <c r="H30" i="44" s="1"/>
  <c r="I21" i="44" s="1"/>
  <c r="M29" i="44"/>
  <c r="W8" i="44" l="1"/>
  <c r="W23" i="44" s="1"/>
  <c r="W22" i="44"/>
  <c r="B34" i="44"/>
  <c r="E14" i="22"/>
  <c r="W26" i="22" s="1"/>
  <c r="W27" i="22" s="1"/>
  <c r="Y31" i="40"/>
  <c r="W16" i="44"/>
  <c r="E37" i="24"/>
  <c r="G29" i="44"/>
  <c r="GW9" i="14" l="1"/>
  <c r="B40" i="22"/>
  <c r="GW11" i="14" l="1"/>
  <c r="GW12" i="14" s="1"/>
  <c r="HB11" i="14"/>
  <c r="HB12" i="14" s="1"/>
  <c r="HG11" i="14"/>
  <c r="HG12" i="14" s="1"/>
  <c r="HL11" i="14"/>
  <c r="HL12" i="14" s="1"/>
  <c r="GW15" i="14" l="1"/>
  <c r="GW19" i="14"/>
  <c r="GW34" i="14"/>
  <c r="GW23" i="14"/>
  <c r="GW14" i="14"/>
  <c r="GW35" i="14"/>
  <c r="GW29" i="14"/>
  <c r="GW41" i="14"/>
  <c r="GW30" i="14"/>
  <c r="GW31" i="14"/>
  <c r="GW39" i="14"/>
  <c r="GW22" i="14"/>
  <c r="GW25" i="14"/>
  <c r="GW26" i="14"/>
  <c r="GW45" i="14"/>
  <c r="GW28" i="14"/>
  <c r="GW33" i="14"/>
  <c r="GW44" i="14"/>
  <c r="GW43" i="14"/>
  <c r="GW20" i="14"/>
  <c r="GW38" i="14"/>
  <c r="GW42" i="14"/>
  <c r="GW18" i="14"/>
  <c r="GW17" i="14"/>
  <c r="GW40" i="14"/>
  <c r="GW32" i="14"/>
  <c r="GW21" i="14"/>
  <c r="GW37" i="14"/>
  <c r="GW24" i="14"/>
  <c r="GW46" i="14"/>
  <c r="GW27" i="14"/>
  <c r="GW16" i="14"/>
  <c r="GW36" i="14"/>
  <c r="HB37" i="14"/>
  <c r="HB46" i="14"/>
  <c r="HB34" i="14"/>
  <c r="HB19" i="14"/>
  <c r="HB35" i="14"/>
  <c r="HB39" i="14"/>
  <c r="HB32" i="14"/>
  <c r="HB16" i="14"/>
  <c r="HB38" i="14"/>
  <c r="HB28" i="14"/>
  <c r="HB17" i="14"/>
  <c r="HB22" i="14"/>
  <c r="HB44" i="14"/>
  <c r="HB23" i="14"/>
  <c r="HB31" i="14"/>
  <c r="HB27" i="14"/>
  <c r="HB42" i="14"/>
  <c r="HB25" i="14"/>
  <c r="HB33" i="14"/>
  <c r="HB14" i="14"/>
  <c r="HB43" i="14"/>
  <c r="HB41" i="14"/>
  <c r="HB36" i="14"/>
  <c r="HB20" i="14"/>
  <c r="HB40" i="14"/>
  <c r="HB30" i="14"/>
  <c r="HB15" i="14"/>
  <c r="HB26" i="14"/>
  <c r="HB45" i="14"/>
  <c r="HB18" i="14"/>
  <c r="HB21" i="14"/>
  <c r="HB29" i="14"/>
  <c r="HB24" i="14"/>
  <c r="HG31" i="14"/>
  <c r="HG40" i="14"/>
  <c r="HG28" i="14"/>
  <c r="HG35" i="14"/>
  <c r="HG16" i="14"/>
  <c r="HG39" i="14"/>
  <c r="HG23" i="14"/>
  <c r="HG45" i="14"/>
  <c r="HG42" i="14"/>
  <c r="HG22" i="14"/>
  <c r="HG44" i="14"/>
  <c r="HG15" i="14"/>
  <c r="HG36" i="14"/>
  <c r="HG24" i="14"/>
  <c r="HG32" i="14"/>
  <c r="HG19" i="14"/>
  <c r="HG20" i="14"/>
  <c r="HG26" i="14"/>
  <c r="HG18" i="14"/>
  <c r="HG21" i="14"/>
  <c r="HG14" i="14"/>
  <c r="HG30" i="14"/>
  <c r="HG46" i="14"/>
  <c r="HG38" i="14"/>
  <c r="HG41" i="14"/>
  <c r="HG37" i="14"/>
  <c r="HG29" i="14"/>
  <c r="HG33" i="14"/>
  <c r="HG43" i="14"/>
  <c r="HG34" i="14"/>
  <c r="HG25" i="14"/>
  <c r="HG17" i="14"/>
  <c r="HG27" i="14"/>
  <c r="HL21" i="14"/>
  <c r="HL28" i="14"/>
  <c r="HL25" i="14"/>
  <c r="HL16" i="14"/>
  <c r="HL18" i="14"/>
  <c r="HL36" i="14"/>
  <c r="HL30" i="14"/>
  <c r="HL23" i="14"/>
  <c r="HL27" i="14"/>
  <c r="HL15" i="14"/>
  <c r="HL19" i="14"/>
  <c r="HL17" i="14"/>
  <c r="HL34" i="14"/>
  <c r="HL29" i="14"/>
  <c r="HL22" i="14"/>
  <c r="HL24" i="14"/>
  <c r="HL35" i="14"/>
  <c r="HL20" i="14"/>
  <c r="HL26" i="14"/>
  <c r="HL32" i="14"/>
  <c r="HL14" i="14"/>
  <c r="HL33" i="14"/>
  <c r="HL31" i="14"/>
  <c r="HB48" i="14" l="1"/>
  <c r="GW48" i="14"/>
  <c r="HG48" i="14"/>
  <c r="HL48" i="14"/>
  <c r="HB9" i="14" l="1"/>
  <c r="E12" i="22" s="1"/>
  <c r="E13" i="22" s="1"/>
  <c r="E17" i="22" s="1"/>
  <c r="E18" i="22" s="1"/>
  <c r="E19" i="22" s="1"/>
  <c r="I20" i="22" l="1"/>
  <c r="H27" i="22" s="1"/>
  <c r="E43" i="22"/>
  <c r="E20" i="22"/>
  <c r="H28" i="22" l="1"/>
  <c r="P29" i="22"/>
  <c r="Y32" i="40"/>
  <c r="Y36" i="40"/>
  <c r="B37" i="22"/>
  <c r="P26" i="22"/>
  <c r="I14" i="45"/>
  <c r="P7" i="45" s="1"/>
  <c r="M29" i="22"/>
  <c r="W8" i="22"/>
  <c r="G40" i="22"/>
  <c r="F21" i="22"/>
  <c r="G22" i="22" s="1"/>
  <c r="IK9" i="14" s="1"/>
  <c r="P27" i="22" l="1"/>
  <c r="M26" i="22"/>
  <c r="W9" i="22"/>
  <c r="W23" i="22"/>
  <c r="W24" i="22"/>
  <c r="W17" i="22"/>
  <c r="T17" i="22" s="1"/>
  <c r="IP11" i="14"/>
  <c r="IP12" i="14" s="1"/>
  <c r="IZ11" i="14"/>
  <c r="IZ12" i="14" s="1"/>
  <c r="IU11" i="14"/>
  <c r="IU12" i="14" s="1"/>
  <c r="IK11" i="14"/>
  <c r="IK12" i="14" s="1"/>
  <c r="G34" i="45"/>
  <c r="JY9" i="14"/>
  <c r="D25" i="45"/>
  <c r="D26" i="45" s="1"/>
  <c r="M30" i="22"/>
  <c r="D34" i="49" s="1"/>
  <c r="M27" i="22" l="1"/>
  <c r="H29" i="22"/>
  <c r="W19" i="22"/>
  <c r="T19" i="22" s="1"/>
  <c r="W18" i="22"/>
  <c r="T18" i="22" s="1"/>
  <c r="W10" i="22"/>
  <c r="W12" i="22"/>
  <c r="W13" i="22" s="1"/>
  <c r="W14" i="22" s="1"/>
  <c r="W15" i="22" s="1"/>
  <c r="JY11" i="14"/>
  <c r="JY12" i="14" s="1"/>
  <c r="KD11" i="14"/>
  <c r="KD12" i="14" s="1"/>
  <c r="KN11" i="14"/>
  <c r="KN12" i="14" s="1"/>
  <c r="KI11" i="14"/>
  <c r="KI12" i="14" s="1"/>
  <c r="IP22" i="14"/>
  <c r="IP24" i="14"/>
  <c r="IP23" i="14"/>
  <c r="IP18" i="14"/>
  <c r="IP38" i="14"/>
  <c r="IP32" i="14"/>
  <c r="IP27" i="14"/>
  <c r="IP29" i="14"/>
  <c r="IP44" i="14"/>
  <c r="IP31" i="14"/>
  <c r="IP14" i="14"/>
  <c r="IP46" i="14"/>
  <c r="IP34" i="14"/>
  <c r="IP20" i="14"/>
  <c r="IP42" i="14"/>
  <c r="IP35" i="14"/>
  <c r="IP39" i="14"/>
  <c r="IP37" i="14"/>
  <c r="IP41" i="14"/>
  <c r="IP16" i="14"/>
  <c r="IP25" i="14"/>
  <c r="IP40" i="14"/>
  <c r="IP33" i="14"/>
  <c r="IP17" i="14"/>
  <c r="IP30" i="14"/>
  <c r="IP21" i="14"/>
  <c r="IP26" i="14"/>
  <c r="IP19" i="14"/>
  <c r="IP36" i="14"/>
  <c r="IP43" i="14"/>
  <c r="IP45" i="14"/>
  <c r="IP28" i="14"/>
  <c r="IP15" i="14"/>
  <c r="IZ35" i="14"/>
  <c r="IZ30" i="14"/>
  <c r="IZ15" i="14"/>
  <c r="IZ29" i="14"/>
  <c r="IZ16" i="14"/>
  <c r="IZ33" i="14"/>
  <c r="IZ31" i="14"/>
  <c r="IZ26" i="14"/>
  <c r="IZ32" i="14"/>
  <c r="IZ14" i="14"/>
  <c r="IZ28" i="14"/>
  <c r="IZ27" i="14"/>
  <c r="IZ22" i="14"/>
  <c r="IZ25" i="14"/>
  <c r="IZ18" i="14"/>
  <c r="IZ20" i="14"/>
  <c r="IZ36" i="14"/>
  <c r="IZ19" i="14"/>
  <c r="IZ17" i="14"/>
  <c r="IZ34" i="14"/>
  <c r="IZ24" i="14"/>
  <c r="IZ23" i="14"/>
  <c r="IZ21" i="14"/>
  <c r="P16" i="45"/>
  <c r="M16" i="45" s="1"/>
  <c r="P22" i="45"/>
  <c r="P23" i="45" s="1"/>
  <c r="P31" i="45"/>
  <c r="P8" i="45"/>
  <c r="IU27" i="14"/>
  <c r="IU22" i="14"/>
  <c r="IU16" i="14"/>
  <c r="IU26" i="14"/>
  <c r="IU41" i="14"/>
  <c r="IU29" i="14"/>
  <c r="IU31" i="14"/>
  <c r="IU15" i="14"/>
  <c r="IU40" i="14"/>
  <c r="IU43" i="14"/>
  <c r="IU21" i="14"/>
  <c r="IU20" i="14"/>
  <c r="IU18" i="14"/>
  <c r="IU46" i="14"/>
  <c r="IU32" i="14"/>
  <c r="IU17" i="14"/>
  <c r="IU19" i="14"/>
  <c r="IU42" i="14"/>
  <c r="IU38" i="14"/>
  <c r="IU39" i="14"/>
  <c r="IU44" i="14"/>
  <c r="IU36" i="14"/>
  <c r="IU23" i="14"/>
  <c r="IU30" i="14"/>
  <c r="IU34" i="14"/>
  <c r="IU28" i="14"/>
  <c r="IU24" i="14"/>
  <c r="IU45" i="14"/>
  <c r="IU37" i="14"/>
  <c r="IU14" i="14"/>
  <c r="IU25" i="14"/>
  <c r="IU33" i="14"/>
  <c r="IU35" i="14"/>
  <c r="M34" i="49"/>
  <c r="D39" i="49"/>
  <c r="IK35" i="14"/>
  <c r="IK30" i="14"/>
  <c r="IK34" i="14"/>
  <c r="IK21" i="14"/>
  <c r="IK28" i="14"/>
  <c r="IK37" i="14"/>
  <c r="IK31" i="14"/>
  <c r="IK44" i="14"/>
  <c r="IK43" i="14"/>
  <c r="IK38" i="14"/>
  <c r="IK45" i="14"/>
  <c r="IK17" i="14"/>
  <c r="IK39" i="14"/>
  <c r="IK24" i="14"/>
  <c r="IK40" i="14"/>
  <c r="IK18" i="14"/>
  <c r="IK16" i="14"/>
  <c r="IK25" i="14"/>
  <c r="IK42" i="14"/>
  <c r="IK14" i="14"/>
  <c r="IK15" i="14"/>
  <c r="IK29" i="14"/>
  <c r="IK19" i="14"/>
  <c r="IK41" i="14"/>
  <c r="IK36" i="14"/>
  <c r="IK33" i="14"/>
  <c r="IK32" i="14"/>
  <c r="IK26" i="14"/>
  <c r="IK27" i="14"/>
  <c r="IK23" i="14"/>
  <c r="IK22" i="14"/>
  <c r="IK20" i="14"/>
  <c r="IK46" i="14"/>
  <c r="H32" i="22" l="1"/>
  <c r="G31" i="22"/>
  <c r="IU48" i="14"/>
  <c r="W20" i="22"/>
  <c r="T20" i="22" s="1"/>
  <c r="T23" i="22" s="1"/>
  <c r="T26" i="22" s="1"/>
  <c r="T27" i="22" s="1"/>
  <c r="W11" i="22"/>
  <c r="W21" i="22" s="1"/>
  <c r="IZ48" i="14"/>
  <c r="IP48" i="14"/>
  <c r="P17" i="45"/>
  <c r="M17" i="45" s="1"/>
  <c r="P9" i="45"/>
  <c r="IK48" i="14"/>
  <c r="JY23" i="14"/>
  <c r="JY40" i="14"/>
  <c r="JY19" i="14"/>
  <c r="JY16" i="14"/>
  <c r="JY37" i="14"/>
  <c r="JY44" i="14"/>
  <c r="JY18" i="14"/>
  <c r="JY31" i="14"/>
  <c r="JY32" i="14"/>
  <c r="JY29" i="14"/>
  <c r="JY27" i="14"/>
  <c r="JY14" i="14"/>
  <c r="JY33" i="14"/>
  <c r="JY43" i="14"/>
  <c r="JY36" i="14"/>
  <c r="JY17" i="14"/>
  <c r="JY35" i="14"/>
  <c r="JY26" i="14"/>
  <c r="JY25" i="14"/>
  <c r="JY42" i="14"/>
  <c r="JY34" i="14"/>
  <c r="JY21" i="14"/>
  <c r="JY20" i="14"/>
  <c r="JY15" i="14"/>
  <c r="JY46" i="14"/>
  <c r="JY39" i="14"/>
  <c r="JY41" i="14"/>
  <c r="JY22" i="14"/>
  <c r="JY45" i="14"/>
  <c r="JY28" i="14"/>
  <c r="JY38" i="14"/>
  <c r="JY24" i="14"/>
  <c r="JY30" i="14"/>
  <c r="V34" i="49"/>
  <c r="V39" i="49" s="1"/>
  <c r="M39" i="49"/>
  <c r="KD33" i="14"/>
  <c r="KD30" i="14"/>
  <c r="KD39" i="14"/>
  <c r="KD42" i="14"/>
  <c r="KD22" i="14"/>
  <c r="KD25" i="14"/>
  <c r="KD45" i="14"/>
  <c r="KD38" i="14"/>
  <c r="KD19" i="14"/>
  <c r="KD20" i="14"/>
  <c r="KD23" i="14"/>
  <c r="KD18" i="14"/>
  <c r="KD46" i="14"/>
  <c r="KD40" i="14"/>
  <c r="KD35" i="14"/>
  <c r="KD32" i="14"/>
  <c r="KD28" i="14"/>
  <c r="KD41" i="14"/>
  <c r="KD17" i="14"/>
  <c r="KD21" i="14"/>
  <c r="KD15" i="14"/>
  <c r="KD37" i="14"/>
  <c r="KD31" i="14"/>
  <c r="KD34" i="14"/>
  <c r="KD27" i="14"/>
  <c r="KD14" i="14"/>
  <c r="KD29" i="14"/>
  <c r="KD36" i="14"/>
  <c r="KD24" i="14"/>
  <c r="KD43" i="14"/>
  <c r="KD16" i="14"/>
  <c r="KD44" i="14"/>
  <c r="KD26" i="14"/>
  <c r="KN28" i="14"/>
  <c r="KN19" i="14"/>
  <c r="KN34" i="14"/>
  <c r="KN16" i="14"/>
  <c r="KN22" i="14"/>
  <c r="KN18" i="14"/>
  <c r="KN24" i="14"/>
  <c r="KN21" i="14"/>
  <c r="KN25" i="14"/>
  <c r="KN15" i="14"/>
  <c r="KN17" i="14"/>
  <c r="KN36" i="14"/>
  <c r="KN26" i="14"/>
  <c r="KN20" i="14"/>
  <c r="KN32" i="14"/>
  <c r="KN33" i="14"/>
  <c r="KN29" i="14"/>
  <c r="KN14" i="14"/>
  <c r="KN31" i="14"/>
  <c r="KN27" i="14"/>
  <c r="KN35" i="14"/>
  <c r="KN23" i="14"/>
  <c r="KN30" i="14"/>
  <c r="KI16" i="14"/>
  <c r="KI25" i="14"/>
  <c r="KI27" i="14"/>
  <c r="KI38" i="14"/>
  <c r="KI22" i="14"/>
  <c r="KI41" i="14"/>
  <c r="KI36" i="14"/>
  <c r="KI31" i="14"/>
  <c r="KI39" i="14"/>
  <c r="KI40" i="14"/>
  <c r="KI18" i="14"/>
  <c r="KI20" i="14"/>
  <c r="KI21" i="14"/>
  <c r="KI24" i="14"/>
  <c r="KI44" i="14"/>
  <c r="KI14" i="14"/>
  <c r="KI35" i="14"/>
  <c r="KI45" i="14"/>
  <c r="KI29" i="14"/>
  <c r="KI46" i="14"/>
  <c r="KI43" i="14"/>
  <c r="KI23" i="14"/>
  <c r="KI30" i="14"/>
  <c r="KI15" i="14"/>
  <c r="KI34" i="14"/>
  <c r="KI26" i="14"/>
  <c r="KI17" i="14"/>
  <c r="KI33" i="14"/>
  <c r="KI28" i="14"/>
  <c r="KI19" i="14"/>
  <c r="KI32" i="14"/>
  <c r="KI42" i="14"/>
  <c r="KI37" i="14"/>
  <c r="D58" i="49"/>
  <c r="T21" i="22" l="1"/>
  <c r="KN48" i="14"/>
  <c r="IP9" i="14"/>
  <c r="E22" i="22" s="1"/>
  <c r="E24" i="22" s="1"/>
  <c r="P10" i="45"/>
  <c r="P18" i="45"/>
  <c r="M18" i="45" s="1"/>
  <c r="KI48" i="14"/>
  <c r="JY48" i="14"/>
  <c r="KD48" i="14"/>
  <c r="V9" i="49"/>
  <c r="M25" i="49"/>
  <c r="AB8" i="10" l="1"/>
  <c r="AE8" i="10" s="1"/>
  <c r="P19" i="45"/>
  <c r="M19" i="45" s="1"/>
  <c r="M20" i="45" s="1"/>
  <c r="P11" i="45"/>
  <c r="KD9" i="14"/>
  <c r="I12" i="45" s="1"/>
  <c r="I13" i="45" s="1"/>
  <c r="E17" i="45" s="1"/>
  <c r="E18" i="45" s="1"/>
  <c r="E19" i="45" s="1"/>
  <c r="M36" i="49"/>
  <c r="M29" i="49"/>
  <c r="M58" i="49" s="1"/>
  <c r="M37" i="49"/>
  <c r="W8" i="24" l="1"/>
  <c r="P12" i="45"/>
  <c r="P13" i="45" s="1"/>
  <c r="P14" i="45" s="1"/>
  <c r="P20" i="45"/>
  <c r="M22" i="45"/>
  <c r="M23" i="45" s="1"/>
  <c r="E40" i="45"/>
  <c r="I20" i="45"/>
  <c r="M28" i="45" s="1"/>
  <c r="E20" i="45"/>
  <c r="V25" i="49"/>
  <c r="V11" i="49"/>
  <c r="Q36" i="49"/>
  <c r="M46" i="49"/>
  <c r="M93" i="49" s="1"/>
  <c r="M49" i="49" s="1"/>
  <c r="M52" i="49" s="1"/>
  <c r="M54" i="49" s="1"/>
  <c r="V10" i="49"/>
  <c r="Q37" i="49"/>
  <c r="Q38" i="49" s="1"/>
  <c r="M51" i="49"/>
  <c r="M59" i="49" s="1"/>
  <c r="W11" i="49" s="1"/>
  <c r="M30" i="49"/>
  <c r="W10" i="49" s="1"/>
  <c r="M38" i="49"/>
  <c r="M88" i="49"/>
  <c r="M91" i="49" s="1"/>
  <c r="M92" i="49" s="1"/>
  <c r="M18" i="49" s="1"/>
  <c r="M31" i="49" s="1"/>
  <c r="M32" i="49" s="1"/>
  <c r="M40" i="49" s="1"/>
  <c r="M43" i="49" s="1"/>
  <c r="M31" i="45" l="1"/>
  <c r="D27" i="45"/>
  <c r="M25" i="45"/>
  <c r="M26" i="45" s="1"/>
  <c r="P25" i="45"/>
  <c r="P26" i="45" s="1"/>
  <c r="H25" i="45"/>
  <c r="P28" i="45"/>
  <c r="M29" i="45" s="1"/>
  <c r="E22" i="45"/>
  <c r="G37" i="45" s="1"/>
  <c r="W7" i="45"/>
  <c r="W22" i="45" s="1"/>
  <c r="Q39" i="49"/>
  <c r="Q40" i="49" s="1"/>
  <c r="V36" i="49"/>
  <c r="V29" i="49"/>
  <c r="V37" i="49"/>
  <c r="M33" i="45" l="1"/>
  <c r="M32" i="45"/>
  <c r="M34" i="45"/>
  <c r="M35" i="45" s="1"/>
  <c r="C38" i="24"/>
  <c r="C29" i="45"/>
  <c r="H26" i="45"/>
  <c r="H27" i="45"/>
  <c r="H30" i="45" s="1"/>
  <c r="I21" i="45" s="1"/>
  <c r="W8" i="45"/>
  <c r="W23" i="45" s="1"/>
  <c r="W16" i="45"/>
  <c r="V46" i="49"/>
  <c r="V93" i="49" s="1"/>
  <c r="V49" i="49" s="1"/>
  <c r="V52" i="49" s="1"/>
  <c r="V54" i="49" s="1"/>
  <c r="V12" i="49"/>
  <c r="Z36" i="49"/>
  <c r="V58" i="49"/>
  <c r="V13" i="49" s="1"/>
  <c r="Z37" i="49"/>
  <c r="V51" i="49"/>
  <c r="V59" i="49" s="1"/>
  <c r="W13" i="49" s="1"/>
  <c r="V38" i="49"/>
  <c r="V30" i="49"/>
  <c r="W12" i="49" s="1"/>
  <c r="V88" i="49"/>
  <c r="V91" i="49" s="1"/>
  <c r="V92" i="49" s="1"/>
  <c r="V18" i="49" s="1"/>
  <c r="V31" i="49" s="1"/>
  <c r="V32" i="49" s="1"/>
  <c r="V40" i="49" s="1"/>
  <c r="V43" i="49" s="1"/>
  <c r="E38" i="24" l="1"/>
  <c r="G29" i="45"/>
  <c r="Y37" i="40"/>
  <c r="B34" i="45"/>
  <c r="D25" i="49" s="1"/>
  <c r="Z39" i="49"/>
  <c r="Z40" i="49" s="1"/>
  <c r="Z38" i="49"/>
  <c r="V7" i="49" l="1"/>
  <c r="D36" i="49"/>
  <c r="D37" i="49"/>
  <c r="D29" i="49"/>
  <c r="D30" i="49" l="1"/>
  <c r="W8" i="49" s="1"/>
  <c r="D38" i="49"/>
  <c r="W7" i="49"/>
  <c r="D51" i="49"/>
  <c r="D59" i="49" s="1"/>
  <c r="W9" i="49" s="1"/>
  <c r="H36" i="49"/>
  <c r="D46" i="49"/>
  <c r="H37" i="49"/>
  <c r="H38" i="49" s="1"/>
  <c r="D88" i="49"/>
  <c r="D91" i="49" s="1"/>
  <c r="D92" i="49" s="1"/>
  <c r="D18" i="49" s="1"/>
  <c r="D31" i="49" s="1"/>
  <c r="D32" i="49" s="1"/>
  <c r="D40" i="49" s="1"/>
  <c r="D43" i="49" s="1"/>
  <c r="V4" i="49" s="1"/>
  <c r="AE9" i="10" s="1"/>
  <c r="AE12" i="10" s="1"/>
  <c r="T24" i="22"/>
  <c r="T34" i="22" s="1"/>
  <c r="T35" i="22" s="1"/>
  <c r="V8" i="49" l="1"/>
  <c r="D93" i="49"/>
  <c r="D49" i="49" s="1"/>
  <c r="D52" i="49" s="1"/>
  <c r="D54" i="49" s="1"/>
  <c r="V5" i="49" s="1"/>
  <c r="H39" i="49"/>
  <c r="H40" i="49" s="1"/>
  <c r="W9" i="24"/>
  <c r="AB9" i="10"/>
  <c r="AB12" i="10" s="1"/>
  <c r="T33" i="22"/>
  <c r="T32" i="22"/>
  <c r="W12" i="24" l="1"/>
  <c r="AE13" i="10"/>
  <c r="W13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Danny Philips</author>
  </authors>
  <commentList>
    <comment ref="D22" authorId="0" shapeId="0" xr:uid="{00000000-0006-0000-0100-000001000000}">
      <text>
        <r>
          <rPr>
            <sz val="18"/>
            <color indexed="81"/>
            <rFont val="Tahoma"/>
            <family val="2"/>
          </rPr>
          <t xml:space="preserve">When altered, 'steam temperature after expansion' on tab 'V1'and 'specific heat steam' on tab 'Boiler'must be redetermined
</t>
        </r>
      </text>
    </comment>
  </commentList>
</comments>
</file>

<file path=xl/sharedStrings.xml><?xml version="1.0" encoding="utf-8"?>
<sst xmlns="http://schemas.openxmlformats.org/spreadsheetml/2006/main" count="3983" uniqueCount="636">
  <si>
    <t>J/kgK</t>
  </si>
  <si>
    <t>W</t>
  </si>
  <si>
    <t>g/min</t>
  </si>
  <si>
    <t>kg/s</t>
  </si>
  <si>
    <t>Specific heat</t>
  </si>
  <si>
    <t>Heat capacity rate</t>
  </si>
  <si>
    <r>
      <t>C</t>
    </r>
    <r>
      <rPr>
        <vertAlign val="subscript"/>
        <sz val="11"/>
        <color theme="1"/>
        <rFont val="Calibri"/>
        <family val="2"/>
        <scheme val="minor"/>
      </rPr>
      <t>c</t>
    </r>
  </si>
  <si>
    <t>°C</t>
  </si>
  <si>
    <t>J/kgs</t>
  </si>
  <si>
    <t>Cold stream: Inlet</t>
  </si>
  <si>
    <t>Hot stream: Inlet</t>
  </si>
  <si>
    <r>
      <t>c</t>
    </r>
    <r>
      <rPr>
        <vertAlign val="subscript"/>
        <sz val="11"/>
        <color theme="1"/>
        <rFont val="Calibri"/>
        <family val="2"/>
        <scheme val="minor"/>
      </rPr>
      <t>p,c</t>
    </r>
  </si>
  <si>
    <r>
      <t>c</t>
    </r>
    <r>
      <rPr>
        <vertAlign val="subscript"/>
        <sz val="11"/>
        <color theme="1"/>
        <rFont val="Calibri"/>
        <family val="2"/>
        <scheme val="minor"/>
      </rPr>
      <t>p,h</t>
    </r>
  </si>
  <si>
    <r>
      <t>C</t>
    </r>
    <r>
      <rPr>
        <vertAlign val="subscript"/>
        <sz val="11"/>
        <color theme="1"/>
        <rFont val="Calibri"/>
        <family val="2"/>
        <scheme val="minor"/>
      </rPr>
      <t>h</t>
    </r>
  </si>
  <si>
    <t>Heat transfer</t>
  </si>
  <si>
    <t>e</t>
  </si>
  <si>
    <r>
      <t>T</t>
    </r>
    <r>
      <rPr>
        <vertAlign val="subscript"/>
        <sz val="11"/>
        <color theme="1"/>
        <rFont val="Calibri"/>
        <family val="2"/>
        <scheme val="minor"/>
      </rPr>
      <t>c,i</t>
    </r>
  </si>
  <si>
    <r>
      <t>T</t>
    </r>
    <r>
      <rPr>
        <vertAlign val="subscript"/>
        <sz val="11"/>
        <color theme="1"/>
        <rFont val="Calibri"/>
        <family val="2"/>
        <scheme val="minor"/>
      </rPr>
      <t>h,i</t>
    </r>
  </si>
  <si>
    <r>
      <t>q=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(T</t>
    </r>
    <r>
      <rPr>
        <vertAlign val="subscript"/>
        <sz val="11"/>
        <color theme="1"/>
        <rFont val="Calibri"/>
        <family val="2"/>
        <scheme val="minor"/>
      </rPr>
      <t>h,i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c,i</t>
    </r>
    <r>
      <rPr>
        <sz val="11"/>
        <color theme="1"/>
        <rFont val="Calibri"/>
        <family val="2"/>
        <scheme val="minor"/>
      </rPr>
      <t>)</t>
    </r>
  </si>
  <si>
    <t>J/Ks</t>
  </si>
  <si>
    <r>
      <t>T</t>
    </r>
    <r>
      <rPr>
        <vertAlign val="subscript"/>
        <sz val="11"/>
        <color theme="1"/>
        <rFont val="Calibri"/>
        <family val="2"/>
        <scheme val="minor"/>
      </rPr>
      <t>c,o</t>
    </r>
  </si>
  <si>
    <r>
      <t>T</t>
    </r>
    <r>
      <rPr>
        <vertAlign val="subscript"/>
        <sz val="11"/>
        <color theme="1"/>
        <rFont val="Calibri"/>
        <family val="2"/>
        <scheme val="minor"/>
      </rPr>
      <t>h,o</t>
    </r>
  </si>
  <si>
    <r>
      <t>C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= min(C</t>
    </r>
    <r>
      <rPr>
        <vertAlign val="subscript"/>
        <sz val="11"/>
        <color theme="1"/>
        <rFont val="Calibri"/>
        <family val="2"/>
        <scheme val="minor"/>
      </rPr>
      <t xml:space="preserve">c  </t>
    </r>
    <r>
      <rPr>
        <sz val="11"/>
        <color theme="1"/>
        <rFont val="Calibri"/>
        <family val="2"/>
        <scheme val="minor"/>
      </rPr>
      <t>, C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</si>
  <si>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t>kg/m3</t>
  </si>
  <si>
    <t>Volume flow</t>
  </si>
  <si>
    <t>m3/h</t>
  </si>
  <si>
    <t>SCFH</t>
  </si>
  <si>
    <r>
      <t>T</t>
    </r>
    <r>
      <rPr>
        <vertAlign val="subscript"/>
        <sz val="11"/>
        <color theme="1"/>
        <rFont val="Calibri"/>
        <family val="2"/>
        <scheme val="minor"/>
      </rPr>
      <t>SOC</t>
    </r>
  </si>
  <si>
    <t>SCFM</t>
  </si>
  <si>
    <t>T [°C]</t>
  </si>
  <si>
    <t>p [bar]</t>
  </si>
  <si>
    <t>@</t>
  </si>
  <si>
    <t>Temperature O2</t>
  </si>
  <si>
    <t>K</t>
  </si>
  <si>
    <t>Temperature Air</t>
  </si>
  <si>
    <t>Mass flow Air</t>
  </si>
  <si>
    <t>Mass flow oxygen</t>
  </si>
  <si>
    <t>Mass fraction Air</t>
  </si>
  <si>
    <t>Mass fraction Oxygen</t>
  </si>
  <si>
    <t>Mixture temperature</t>
  </si>
  <si>
    <t>Mixture specific heat</t>
  </si>
  <si>
    <t xml:space="preserve">Mixture specific heat </t>
  </si>
  <si>
    <t>[K]</t>
  </si>
  <si>
    <t>[kJ/kgK]</t>
  </si>
  <si>
    <t>[J/kgK]</t>
  </si>
  <si>
    <t>Mixture Mass flow</t>
  </si>
  <si>
    <t>Mixture mass flow</t>
  </si>
  <si>
    <t>g/min Air</t>
  </si>
  <si>
    <t>g/min Air+O2</t>
  </si>
  <si>
    <t>LPM</t>
  </si>
  <si>
    <t>NLPM</t>
  </si>
  <si>
    <t>SLPM</t>
  </si>
  <si>
    <t>Number of heat exchangers</t>
  </si>
  <si>
    <t>n</t>
  </si>
  <si>
    <t>Combined thermal effectiveness</t>
  </si>
  <si>
    <r>
      <t>e</t>
    </r>
    <r>
      <rPr>
        <vertAlign val="subscript"/>
        <sz val="11"/>
        <color theme="1"/>
        <rFont val="Calibri"/>
        <family val="2"/>
        <scheme val="minor"/>
      </rPr>
      <t>tot</t>
    </r>
  </si>
  <si>
    <t>Ratio of thermal capacity</t>
  </si>
  <si>
    <t>R</t>
  </si>
  <si>
    <t>Hot stream outlet temp HE 1</t>
  </si>
  <si>
    <t>Thermal effectiveness single HE</t>
  </si>
  <si>
    <t>For indentical heat exchangers only</t>
  </si>
  <si>
    <t>Combined:</t>
  </si>
  <si>
    <t>Heat Exchanger(s)</t>
  </si>
  <si>
    <t>Heat exchangers in series</t>
  </si>
  <si>
    <t>Cold stream outlet temp HE last</t>
  </si>
  <si>
    <t>Mass flow H2</t>
  </si>
  <si>
    <t>Air</t>
  </si>
  <si>
    <t>O2</t>
  </si>
  <si>
    <t>H2O</t>
  </si>
  <si>
    <t>H2</t>
  </si>
  <si>
    <t>g/mol</t>
  </si>
  <si>
    <t>CH4</t>
  </si>
  <si>
    <t>CO2</t>
  </si>
  <si>
    <t>Oxygen</t>
  </si>
  <si>
    <t>Hydrogen</t>
  </si>
  <si>
    <t>Carbondioxide</t>
  </si>
  <si>
    <t>Methane</t>
  </si>
  <si>
    <t>%</t>
  </si>
  <si>
    <t>Reference Mass Flow [mol/min]</t>
  </si>
  <si>
    <t>Temperature H2O vapor</t>
  </si>
  <si>
    <t>Mass flow H2O vapor</t>
  </si>
  <si>
    <t>Temperature H2</t>
  </si>
  <si>
    <t>Mass fraction H2O vapor</t>
  </si>
  <si>
    <t>Mass fraction Hydrogen</t>
  </si>
  <si>
    <t>Mass flow Hydrogen</t>
  </si>
  <si>
    <t>g/min H2O + H2</t>
  </si>
  <si>
    <t>Mass Flow O2</t>
  </si>
  <si>
    <t>Mass Flow Air</t>
  </si>
  <si>
    <t>Density O2</t>
  </si>
  <si>
    <t>Density Air</t>
  </si>
  <si>
    <t>Mass Flow H2</t>
  </si>
  <si>
    <t>Density H2</t>
  </si>
  <si>
    <t>HE3 cold</t>
  </si>
  <si>
    <t>HE3 hot</t>
  </si>
  <si>
    <t>HE1 hot</t>
  </si>
  <si>
    <t>HE1 cold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</si>
  <si>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Air, in</t>
    </r>
  </si>
  <si>
    <t>Pressures in bar</t>
  </si>
  <si>
    <t>Molar Mass</t>
  </si>
  <si>
    <t>Cold inlet temp HE 1</t>
  </si>
  <si>
    <t>Hot inlet temp HE 1</t>
  </si>
  <si>
    <t>Flow converter: Hot stream</t>
  </si>
  <si>
    <t>Flow converter: Cold stream</t>
  </si>
  <si>
    <t>Mass flow CO2</t>
  </si>
  <si>
    <t>Mass flow CH4</t>
  </si>
  <si>
    <t>Mass fraction H2</t>
  </si>
  <si>
    <t>Mass fraction CO2</t>
  </si>
  <si>
    <t>Temperature CO2</t>
  </si>
  <si>
    <t>Mass fraction CH4</t>
  </si>
  <si>
    <t>Temperature CH4</t>
  </si>
  <si>
    <t>HE1: Cold Air Inlet</t>
  </si>
  <si>
    <t>g/min H2O+H2+CO2+CH4</t>
  </si>
  <si>
    <t>Input values:</t>
  </si>
  <si>
    <t>Number of serial heat exchangers</t>
  </si>
  <si>
    <t>HE 1</t>
  </si>
  <si>
    <t>HE 3</t>
  </si>
  <si>
    <t>HE 4</t>
  </si>
  <si>
    <t>Thermal effectiveness single Heat Exchanger</t>
  </si>
  <si>
    <t>HEAT EXCHANGER CALCULATIONS</t>
  </si>
  <si>
    <t>Mass Flow (power %) [g/min]</t>
  </si>
  <si>
    <t>Heater 1 (SOC Air)</t>
  </si>
  <si>
    <t>Heater 2 (SOC gas)</t>
  </si>
  <si>
    <t>Heater 4 (water)</t>
  </si>
  <si>
    <t>Additional heater has to heat up the air stream from</t>
  </si>
  <si>
    <t>°C     to</t>
  </si>
  <si>
    <t>Specific heat cold outlet stream</t>
  </si>
  <si>
    <r>
      <t>c</t>
    </r>
    <r>
      <rPr>
        <vertAlign val="subscript"/>
        <sz val="11"/>
        <color theme="1"/>
        <rFont val="Calibri"/>
        <family val="2"/>
        <scheme val="minor"/>
      </rPr>
      <t>p,c,o</t>
    </r>
  </si>
  <si>
    <t>Required SOC inlet temp</t>
  </si>
  <si>
    <t>P</t>
  </si>
  <si>
    <t>Additional heater has to heat up the gas stream from</t>
  </si>
  <si>
    <r>
      <t>Heater (Catalyst):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inlet</t>
    </r>
  </si>
  <si>
    <t>Required Catalyst inlet temp</t>
  </si>
  <si>
    <t>Heater 5 (steam)</t>
  </si>
  <si>
    <t>d</t>
  </si>
  <si>
    <t>mm</t>
  </si>
  <si>
    <t>l</t>
  </si>
  <si>
    <t>C</t>
  </si>
  <si>
    <t>W/mK</t>
  </si>
  <si>
    <t>Heat transfer without Air Gap:</t>
  </si>
  <si>
    <r>
      <t>T</t>
    </r>
    <r>
      <rPr>
        <vertAlign val="subscript"/>
        <sz val="11"/>
        <color theme="1"/>
        <rFont val="Calibri"/>
        <family val="2"/>
        <scheme val="minor"/>
      </rPr>
      <t>HE</t>
    </r>
  </si>
  <si>
    <t>t</t>
  </si>
  <si>
    <t>Thermal resistance insulation layer</t>
  </si>
  <si>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=t/</t>
    </r>
    <r>
      <rPr>
        <sz val="11"/>
        <color theme="1"/>
        <rFont val="Symbol"/>
        <family val="1"/>
        <charset val="2"/>
      </rPr>
      <t>l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</si>
  <si>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K/W</t>
    </r>
  </si>
  <si>
    <t>a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</si>
  <si>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</t>
    </r>
  </si>
  <si>
    <t>Heat transfer resistance insulation to air</t>
  </si>
  <si>
    <r>
      <t>r</t>
    </r>
    <r>
      <rPr>
        <vertAlign val="subscript"/>
        <sz val="11"/>
        <color theme="1"/>
        <rFont val="Calibri"/>
        <family val="2"/>
        <scheme val="minor"/>
      </rPr>
      <t>hta</t>
    </r>
    <r>
      <rPr>
        <sz val="11"/>
        <color theme="1"/>
        <rFont val="Calibri"/>
        <family val="2"/>
        <scheme val="minor"/>
      </rPr>
      <t>=1/</t>
    </r>
    <r>
      <rPr>
        <sz val="11"/>
        <color theme="1"/>
        <rFont val="Calibri"/>
        <family val="2"/>
      </rPr>
      <t>α</t>
    </r>
  </si>
  <si>
    <r>
      <rPr>
        <b/>
        <sz val="14"/>
        <color theme="1"/>
        <rFont val="Calibri"/>
        <family val="2"/>
        <scheme val="minor"/>
      </rPr>
      <t>W/m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</si>
  <si>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hts</t>
    </r>
    <r>
      <rPr>
        <sz val="11"/>
        <color theme="1"/>
        <rFont val="Calibri"/>
        <family val="2"/>
        <scheme val="minor"/>
      </rPr>
      <t>=1/</t>
    </r>
    <r>
      <rPr>
        <sz val="11"/>
        <color theme="1"/>
        <rFont val="Calibri"/>
        <family val="2"/>
      </rPr>
      <t>α</t>
    </r>
  </si>
  <si>
    <t>Total heat transfer resistance</t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</si>
  <si>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th </t>
    </r>
    <r>
      <rPr>
        <sz val="11"/>
        <color theme="1"/>
        <rFont val="Calibri"/>
        <family val="2"/>
        <scheme val="minor"/>
      </rPr>
      <t>tot=</t>
    </r>
  </si>
  <si>
    <t>Heat flux</t>
  </si>
  <si>
    <r>
      <t>φ</t>
    </r>
    <r>
      <rPr>
        <vertAlign val="subscript"/>
        <sz val="11"/>
        <color theme="1"/>
        <rFont val="Calibri"/>
        <family val="2"/>
      </rPr>
      <t>q</t>
    </r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</si>
  <si>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</si>
  <si>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A</t>
  </si>
  <si>
    <r>
      <t>m</t>
    </r>
    <r>
      <rPr>
        <vertAlign val="superscript"/>
        <sz val="11"/>
        <color theme="1"/>
        <rFont val="Calibri"/>
        <family val="2"/>
      </rPr>
      <t>2</t>
    </r>
  </si>
  <si>
    <t>Q</t>
  </si>
  <si>
    <t>Insulation surface temperature inside</t>
  </si>
  <si>
    <t>Insulation surface temperature outside</t>
  </si>
  <si>
    <t>Total number of HE's</t>
  </si>
  <si>
    <t>Density CO2</t>
  </si>
  <si>
    <t>Density CH4</t>
  </si>
  <si>
    <t>Mass Flow H2O</t>
  </si>
  <si>
    <t>Density H2O</t>
  </si>
  <si>
    <t>Condenser(s)</t>
  </si>
  <si>
    <t>g/min H2O</t>
  </si>
  <si>
    <t>Cold Inlet temp CON 2</t>
  </si>
  <si>
    <t>Hot Inlet temp CON 2</t>
  </si>
  <si>
    <t>Thermal effectiveness single CON</t>
  </si>
  <si>
    <t>CON 2 cold</t>
  </si>
  <si>
    <t>Number of serial condensers</t>
  </si>
  <si>
    <t>Thermal effectiveness single Condenser</t>
  </si>
  <si>
    <t>CON 2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</si>
  <si>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water, in</t>
    </r>
  </si>
  <si>
    <r>
      <t>CON 2: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</si>
  <si>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t xml:space="preserve">Specific heat </t>
  </si>
  <si>
    <t>bar</t>
  </si>
  <si>
    <t>Vapor Pressure</t>
  </si>
  <si>
    <t>Temperature in</t>
  </si>
  <si>
    <t>Temperature out</t>
  </si>
  <si>
    <t>Vapor pressure</t>
  </si>
  <si>
    <t>Tetens equasion: P=0,01*0,61078 exp(17,27*T/(T+237,3)   [bar,°C]</t>
  </si>
  <si>
    <t>Partial pressure of water</t>
  </si>
  <si>
    <t>Volume flow in</t>
  </si>
  <si>
    <t>INFLOW:</t>
  </si>
  <si>
    <t>OUTFLOW:</t>
  </si>
  <si>
    <t>Condensation</t>
  </si>
  <si>
    <t>Number of Condensers</t>
  </si>
  <si>
    <t>CON 2 in</t>
  </si>
  <si>
    <t>CON 2 out</t>
  </si>
  <si>
    <t>Volume flow out (no cond)</t>
  </si>
  <si>
    <t>Volume flow out (cond)*</t>
  </si>
  <si>
    <t>* water flow set to zero</t>
  </si>
  <si>
    <t>mol/min</t>
  </si>
  <si>
    <t>Remaining water after condenser</t>
  </si>
  <si>
    <t>Heat content catalyst in</t>
  </si>
  <si>
    <t>Heat content catalyst out</t>
  </si>
  <si>
    <r>
      <t>T</t>
    </r>
    <r>
      <rPr>
        <vertAlign val="subscript"/>
        <sz val="11"/>
        <color theme="1"/>
        <rFont val="Calibri"/>
        <family val="2"/>
        <scheme val="minor"/>
      </rPr>
      <t>out</t>
    </r>
  </si>
  <si>
    <r>
      <t>T</t>
    </r>
    <r>
      <rPr>
        <vertAlign val="subscript"/>
        <sz val="11"/>
        <color theme="1"/>
        <rFont val="Calibri"/>
        <family val="2"/>
        <scheme val="minor"/>
      </rPr>
      <t>in</t>
    </r>
  </si>
  <si>
    <r>
      <t>°</t>
    </r>
    <r>
      <rPr>
        <sz val="11"/>
        <color theme="1"/>
        <rFont val="Calibri"/>
        <family val="2"/>
        <scheme val="minor"/>
      </rPr>
      <t>C</t>
    </r>
  </si>
  <si>
    <t>Water inflow</t>
  </si>
  <si>
    <t>Required boiler water temperature</t>
  </si>
  <si>
    <t>Water inlet temperature</t>
  </si>
  <si>
    <t>Condensed water</t>
  </si>
  <si>
    <t>Condensation energy @ 39000 J/mol</t>
  </si>
  <si>
    <t>T2</t>
  </si>
  <si>
    <t>P1</t>
  </si>
  <si>
    <t>P2</t>
  </si>
  <si>
    <t>V1</t>
  </si>
  <si>
    <t>V2</t>
  </si>
  <si>
    <t>V0</t>
  </si>
  <si>
    <t>P [bar]</t>
  </si>
  <si>
    <t>Outlet pressure</t>
  </si>
  <si>
    <t>Adiabatic index</t>
  </si>
  <si>
    <t>Outlet temperature</t>
  </si>
  <si>
    <t>Temperature</t>
  </si>
  <si>
    <t>[°C]</t>
  </si>
  <si>
    <t>[atm]</t>
  </si>
  <si>
    <t>Saturation pressure</t>
  </si>
  <si>
    <t>Water pump</t>
  </si>
  <si>
    <t>Pressure difference</t>
  </si>
  <si>
    <t>m3/s</t>
  </si>
  <si>
    <t>pump efficency</t>
  </si>
  <si>
    <t>estimate</t>
  </si>
  <si>
    <t>Pumping power</t>
  </si>
  <si>
    <t>Compressor (H2O)</t>
  </si>
  <si>
    <t>Total Required Power</t>
  </si>
  <si>
    <t>Catalyst: Inlet</t>
  </si>
  <si>
    <t>Flow converter: Catalyst outlet stream</t>
  </si>
  <si>
    <t>Flow converter: Catalyst inlet stream</t>
  </si>
  <si>
    <t>Condensation temperature</t>
  </si>
  <si>
    <t>Required heater power (heater 5)</t>
  </si>
  <si>
    <t>Convection and radiation losses</t>
  </si>
  <si>
    <t>assumption</t>
  </si>
  <si>
    <t>Absolute</t>
  </si>
  <si>
    <t>pressure</t>
  </si>
  <si>
    <t>(kPa, kN/m2)</t>
  </si>
  <si>
    <t>Evaporation Temperature</t>
  </si>
  <si>
    <t>(oC)</t>
  </si>
  <si>
    <t>Specific</t>
  </si>
  <si>
    <t>Volume</t>
  </si>
  <si>
    <t>(m3/kg)</t>
  </si>
  <si>
    <t>Density</t>
  </si>
  <si>
    <t>Specific Enthalpy of</t>
  </si>
  <si>
    <t>Entropy</t>
  </si>
  <si>
    <t>of Steam</t>
  </si>
  <si>
    <t>(kJ/kgK)</t>
  </si>
  <si>
    <t>Liquid</t>
  </si>
  <si>
    <t>(kJ/kg)</t>
  </si>
  <si>
    <t>Evaporation</t>
  </si>
  <si>
    <t>Steam</t>
  </si>
  <si>
    <t>Specific entalpy of evaporation</t>
  </si>
  <si>
    <t>he</t>
  </si>
  <si>
    <r>
      <t>h</t>
    </r>
    <r>
      <rPr>
        <vertAlign val="subscript"/>
        <sz val="11"/>
        <color theme="1"/>
        <rFont val="Calibri"/>
        <family val="2"/>
        <scheme val="minor"/>
      </rPr>
      <t>e</t>
    </r>
  </si>
  <si>
    <t>kJ/kg</t>
  </si>
  <si>
    <t>Required evaporation energy</t>
  </si>
  <si>
    <r>
      <t>Q</t>
    </r>
    <r>
      <rPr>
        <vertAlign val="subscript"/>
        <sz val="11"/>
        <color theme="1"/>
        <rFont val="Calibri"/>
        <family val="2"/>
        <scheme val="minor"/>
      </rPr>
      <t>e</t>
    </r>
  </si>
  <si>
    <t>Specific heat supply water (avg)</t>
  </si>
  <si>
    <t>Required water heating energy</t>
  </si>
  <si>
    <t>Total required energy</t>
  </si>
  <si>
    <r>
      <t>Q</t>
    </r>
    <r>
      <rPr>
        <vertAlign val="subscript"/>
        <sz val="11"/>
        <color theme="1"/>
        <rFont val="Calibri"/>
        <family val="2"/>
        <scheme val="minor"/>
      </rPr>
      <t>w</t>
    </r>
  </si>
  <si>
    <t>Catalysis enery surplus</t>
  </si>
  <si>
    <r>
      <t>Q</t>
    </r>
    <r>
      <rPr>
        <vertAlign val="subscript"/>
        <sz val="11"/>
        <color theme="1"/>
        <rFont val="Calibri"/>
        <family val="2"/>
        <scheme val="minor"/>
      </rPr>
      <t>c,out</t>
    </r>
  </si>
  <si>
    <r>
      <t>Q</t>
    </r>
    <r>
      <rPr>
        <vertAlign val="subscript"/>
        <sz val="11"/>
        <color theme="1"/>
        <rFont val="Calibri"/>
        <family val="2"/>
        <scheme val="minor"/>
      </rPr>
      <t>c,in</t>
    </r>
  </si>
  <si>
    <r>
      <t>Q</t>
    </r>
    <r>
      <rPr>
        <vertAlign val="subscript"/>
        <sz val="11"/>
        <color theme="1"/>
        <rFont val="Calibri"/>
        <family val="2"/>
        <scheme val="minor"/>
      </rPr>
      <t>c</t>
    </r>
  </si>
  <si>
    <t>Specific heat steam</t>
  </si>
  <si>
    <t>Required heating power (heater 4)</t>
  </si>
  <si>
    <t>Catalytic reaction power</t>
  </si>
  <si>
    <r>
      <t>Q</t>
    </r>
    <r>
      <rPr>
        <vertAlign val="subscript"/>
        <sz val="11"/>
        <color theme="1"/>
        <rFont val="Calibri"/>
        <family val="2"/>
        <scheme val="minor"/>
      </rPr>
      <t>r</t>
    </r>
  </si>
  <si>
    <r>
      <t>Q=Q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+Q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-Q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-Q</t>
    </r>
    <r>
      <rPr>
        <vertAlign val="subscript"/>
        <sz val="11"/>
        <color theme="1"/>
        <rFont val="Calibri"/>
        <family val="2"/>
        <scheme val="minor"/>
      </rPr>
      <t>r</t>
    </r>
  </si>
  <si>
    <t>Cold outlet incl condensation</t>
  </si>
  <si>
    <t>Catalyst: Outlet</t>
  </si>
  <si>
    <t>T1</t>
  </si>
  <si>
    <t>Outlet temperature for same Enthalpy</t>
  </si>
  <si>
    <t>Temperatuur</t>
  </si>
  <si>
    <t>Flow</t>
  </si>
  <si>
    <t xml:space="preserve">Mass flow H2O </t>
  </si>
  <si>
    <t>Condensation fraction assumption</t>
  </si>
  <si>
    <t>Positional condensation length</t>
  </si>
  <si>
    <t>Recirculation</t>
  </si>
  <si>
    <t>main</t>
  </si>
  <si>
    <t>recirc.</t>
  </si>
  <si>
    <t>Mass flow CO</t>
  </si>
  <si>
    <t>Mass fraction CO</t>
  </si>
  <si>
    <t>Temperature CO</t>
  </si>
  <si>
    <t>,</t>
  </si>
  <si>
    <r>
      <t>Heater 2: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</si>
  <si>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PCW inlet temperature</t>
  </si>
  <si>
    <t>Supply pressure</t>
  </si>
  <si>
    <t>Supply temperature</t>
  </si>
  <si>
    <t>HE5: CO2</t>
  </si>
  <si>
    <t>Recirculation gas</t>
  </si>
  <si>
    <t>Mass flow H2O</t>
  </si>
  <si>
    <t>Gas supply: CO2</t>
  </si>
  <si>
    <r>
      <t>Recirculation: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</si>
  <si>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m*c</t>
  </si>
  <si>
    <t>W/K</t>
  </si>
  <si>
    <t>g/min CO2</t>
  </si>
  <si>
    <t>Expanded steam 1,025 bar</t>
  </si>
  <si>
    <t>Temperature [°C]</t>
  </si>
  <si>
    <t>Specific enthalpy [kJ/kg]</t>
  </si>
  <si>
    <t>Compressiestap 1- Polytrope compressie</t>
  </si>
  <si>
    <t>Compressiestap 2- Polytrope compressie</t>
  </si>
  <si>
    <t>Compressiestap 3- Polytrope compressie</t>
  </si>
  <si>
    <t>Ja</t>
  </si>
  <si>
    <t>Nee</t>
  </si>
  <si>
    <t>Compressibiliteit</t>
  </si>
  <si>
    <t>z</t>
  </si>
  <si>
    <t>methaan</t>
  </si>
  <si>
    <t>Ingangsdruk</t>
  </si>
  <si>
    <t>P3</t>
  </si>
  <si>
    <t>P5</t>
  </si>
  <si>
    <t>P7</t>
  </si>
  <si>
    <t>Compressie ratio</t>
  </si>
  <si>
    <t>Uitgangsdruk</t>
  </si>
  <si>
    <t>P4</t>
  </si>
  <si>
    <t>P6</t>
  </si>
  <si>
    <t>Gasconstante</t>
  </si>
  <si>
    <t>J/Kmol</t>
  </si>
  <si>
    <t>Molaire massa</t>
  </si>
  <si>
    <t>M</t>
  </si>
  <si>
    <t>Ingangstemperatuur</t>
  </si>
  <si>
    <t>T3</t>
  </si>
  <si>
    <t>T5</t>
  </si>
  <si>
    <t>T7</t>
  </si>
  <si>
    <t>Polytrope index</t>
  </si>
  <si>
    <t>Uitgangstemperatuur</t>
  </si>
  <si>
    <t>T4</t>
  </si>
  <si>
    <t>T6</t>
  </si>
  <si>
    <t>Uitgangsvolumeflow</t>
  </si>
  <si>
    <t>V4</t>
  </si>
  <si>
    <t>V6</t>
  </si>
  <si>
    <t xml:space="preserve">Compressiearbeid </t>
  </si>
  <si>
    <r>
      <t>H</t>
    </r>
    <r>
      <rPr>
        <vertAlign val="subscript"/>
        <sz val="11"/>
        <color theme="1"/>
        <rFont val="Calibri"/>
        <family val="2"/>
        <scheme val="minor"/>
      </rPr>
      <t>poly</t>
    </r>
  </si>
  <si>
    <t>J/mol</t>
  </si>
  <si>
    <t>Volumeflow (0°C;1 bar)</t>
  </si>
  <si>
    <t>nm3/s</t>
  </si>
  <si>
    <t>Dichtheid (0°C; 1 bar)</t>
  </si>
  <si>
    <r>
      <t>r</t>
    </r>
    <r>
      <rPr>
        <vertAlign val="subscript"/>
        <sz val="11"/>
        <color theme="1"/>
        <rFont val="Symbol"/>
        <family val="1"/>
        <charset val="2"/>
      </rPr>
      <t>0</t>
    </r>
  </si>
  <si>
    <t>kg/nm3</t>
  </si>
  <si>
    <t>Dichtheid (T1;P1)</t>
  </si>
  <si>
    <r>
      <t>r</t>
    </r>
    <r>
      <rPr>
        <vertAlign val="subscript"/>
        <sz val="11"/>
        <color theme="1"/>
        <rFont val="Symbol"/>
        <family val="1"/>
        <charset val="2"/>
      </rPr>
      <t>1</t>
    </r>
  </si>
  <si>
    <t>(T2;P2)</t>
  </si>
  <si>
    <t>Dichtheid (T3;P3)</t>
  </si>
  <si>
    <r>
      <t>r</t>
    </r>
    <r>
      <rPr>
        <vertAlign val="subscript"/>
        <sz val="11"/>
        <color theme="1"/>
        <rFont val="Symbol"/>
        <family val="1"/>
        <charset val="2"/>
      </rPr>
      <t>3</t>
    </r>
  </si>
  <si>
    <t>(T4;P4)</t>
  </si>
  <si>
    <t>Dichtheid (T5;P5)</t>
  </si>
  <si>
    <r>
      <t>r</t>
    </r>
    <r>
      <rPr>
        <vertAlign val="subscript"/>
        <sz val="11"/>
        <color theme="1"/>
        <rFont val="Symbol"/>
        <family val="1"/>
        <charset val="2"/>
      </rPr>
      <t>5</t>
    </r>
  </si>
  <si>
    <t>(T6;P6)</t>
  </si>
  <si>
    <t>Ingangs volumeflow (T1;P1)</t>
  </si>
  <si>
    <t>Ingangs volumeflow (T3;P3)</t>
  </si>
  <si>
    <t>Ingangs volumeflow (T5;P5)</t>
  </si>
  <si>
    <t>Ingangs massaflow (T1;P1)</t>
  </si>
  <si>
    <t>Ingangs massaflow (T3;P3)</t>
  </si>
  <si>
    <t>Ingangs massaflow (T5;P5)</t>
  </si>
  <si>
    <t xml:space="preserve">Polytroop Compressievermogen </t>
  </si>
  <si>
    <r>
      <t>WH</t>
    </r>
    <r>
      <rPr>
        <vertAlign val="subscript"/>
        <sz val="11"/>
        <color theme="1"/>
        <rFont val="Calibri"/>
        <family val="2"/>
        <scheme val="minor"/>
      </rPr>
      <t>poly</t>
    </r>
  </si>
  <si>
    <t>kW</t>
  </si>
  <si>
    <t>Polytrope efficiency</t>
  </si>
  <si>
    <t>Benodigd Compressorvermogen</t>
  </si>
  <si>
    <t>Intercooler</t>
  </si>
  <si>
    <t>Ja/Nee</t>
  </si>
  <si>
    <t>Drukval</t>
  </si>
  <si>
    <t>ΔP</t>
  </si>
  <si>
    <t>Soortelijke warmte</t>
  </si>
  <si>
    <t>cp</t>
  </si>
  <si>
    <t xml:space="preserve"> kJ/kgK</t>
  </si>
  <si>
    <t>Uitgangsflow (T3;P3)</t>
  </si>
  <si>
    <t>V3</t>
  </si>
  <si>
    <t>Uitgangsflow (T5;P5)</t>
  </si>
  <si>
    <t>V5</t>
  </si>
  <si>
    <t>Uitgangsflow (T7;P7)</t>
  </si>
  <si>
    <t>V7</t>
  </si>
  <si>
    <t>Thermisch vermogen</t>
  </si>
  <si>
    <t>Efficiency warmtewisselaar</t>
  </si>
  <si>
    <t>Benodigd Intercoolervermogen</t>
  </si>
  <si>
    <t>Ingangswaarden volgende compressiestap</t>
  </si>
  <si>
    <t>Eindwaarden laatste compressiestap</t>
  </si>
  <si>
    <t>Druk</t>
  </si>
  <si>
    <t>WH</t>
  </si>
  <si>
    <t>Dichtheid (20°C; 1 bar)</t>
  </si>
  <si>
    <r>
      <t>r</t>
    </r>
    <r>
      <rPr>
        <vertAlign val="subscript"/>
        <sz val="11"/>
        <color theme="1"/>
        <rFont val="Calibri"/>
        <family val="2"/>
        <scheme val="minor"/>
      </rPr>
      <t>ST</t>
    </r>
  </si>
  <si>
    <t>kg/sm3</t>
  </si>
  <si>
    <t>Kritische Temperatuur</t>
  </si>
  <si>
    <r>
      <t>T</t>
    </r>
    <r>
      <rPr>
        <vertAlign val="subscript"/>
        <sz val="11"/>
        <color theme="1"/>
        <rFont val="Calibri"/>
        <family val="2"/>
        <scheme val="minor"/>
      </rPr>
      <t>CR</t>
    </r>
  </si>
  <si>
    <t>Gereduceerde gastemperatuur</t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</si>
  <si>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</si>
  <si>
    <t>Kritische druk</t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</si>
  <si>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</si>
  <si>
    <t>Gereduceerde druk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</si>
  <si>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</si>
  <si>
    <t>kJ/kgK</t>
  </si>
  <si>
    <t>Specific Enthalpy steam</t>
  </si>
  <si>
    <t xml:space="preserve"> </t>
  </si>
  <si>
    <t>Overall efficiency</t>
  </si>
  <si>
    <t xml:space="preserve">efficiency </t>
  </si>
  <si>
    <t>total</t>
  </si>
  <si>
    <t>HE 6</t>
  </si>
  <si>
    <t>g/min H2O+CH4</t>
  </si>
  <si>
    <t>CON 1 in</t>
  </si>
  <si>
    <t>HE2 cold</t>
  </si>
  <si>
    <t>HE2 hot</t>
  </si>
  <si>
    <t>Mass flow O2</t>
  </si>
  <si>
    <r>
      <t>HE 1: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outlet</t>
    </r>
  </si>
  <si>
    <t>g/min H2O+H2</t>
  </si>
  <si>
    <t>Heat Exchanger 1: Heat air inlet with SOC gas outlet</t>
  </si>
  <si>
    <t>HE 2</t>
  </si>
  <si>
    <t>Cold Inlet temp HE 2</t>
  </si>
  <si>
    <t>Hot Inlet temp HE 2</t>
  </si>
  <si>
    <t>Superheated steam 28 bar</t>
  </si>
  <si>
    <t xml:space="preserve">Heat Exchanger 2: Heat steam and H2 with SOC air outlet </t>
  </si>
  <si>
    <r>
      <t>HE 3: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outlet</t>
    </r>
  </si>
  <si>
    <t>Heat Exchanger 3: Heat H2 + CO2 mixture with catalyst outlet gas</t>
  </si>
  <si>
    <t>HE3: Cold H2+CO2 mixture</t>
  </si>
  <si>
    <t>Hot stream outlet temp HE 3</t>
  </si>
  <si>
    <t>CO2 pump</t>
  </si>
  <si>
    <t>28 bar / 230 C</t>
  </si>
  <si>
    <t>Heat Exchanger 4: Heat proces water with SOC air outlet</t>
  </si>
  <si>
    <t>Cold inlet temp HE 4</t>
  </si>
  <si>
    <t>Hot inlet temp HE 4</t>
  </si>
  <si>
    <t>Hot stream outlet temp CON 2</t>
  </si>
  <si>
    <t>Cold Inlet temp HE 3</t>
  </si>
  <si>
    <t>Hot Inlet temp HE 3</t>
  </si>
  <si>
    <t>HE5 cold</t>
  </si>
  <si>
    <t>HE5 hot</t>
  </si>
  <si>
    <t>Heat exchanger 5: Heat Catalyst 2 inlet gas with Catalyst 2 outlet gas</t>
  </si>
  <si>
    <t>Cold Inlet temp HE5</t>
  </si>
  <si>
    <t>Hot Inlet temp HE5</t>
  </si>
  <si>
    <t>HE 5: Cold CH4 mixture inlet</t>
  </si>
  <si>
    <t>HE 5: Hot CH4 mixture inlet</t>
  </si>
  <si>
    <t>HE 5: Heater 6</t>
  </si>
  <si>
    <t>Condenser 1.1: Cool SOC outlet gas with water</t>
  </si>
  <si>
    <t>Condenser 1.2: Cool SOC outlet gas with water</t>
  </si>
  <si>
    <r>
      <t>CON 3: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</si>
  <si>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r>
      <t>CON 4: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+ CO2 + CH4 inlet</t>
    </r>
  </si>
  <si>
    <t>Hot stream outlet temp CON 4</t>
  </si>
  <si>
    <t>Cold Inlet temp CON 4</t>
  </si>
  <si>
    <t>Hot Inlet temp CON 4</t>
  </si>
  <si>
    <t>CON 1.2</t>
  </si>
  <si>
    <t>CON 1.1</t>
  </si>
  <si>
    <t>CON 3</t>
  </si>
  <si>
    <t>CON 4</t>
  </si>
  <si>
    <t>CON 1.2 in</t>
  </si>
  <si>
    <t>CON 1.2 out</t>
  </si>
  <si>
    <t>CON 1.1 out</t>
  </si>
  <si>
    <t>CON 3 in</t>
  </si>
  <si>
    <t>CON 3 out</t>
  </si>
  <si>
    <t>CON 4 in</t>
  </si>
  <si>
    <t>CON 4 out</t>
  </si>
  <si>
    <t xml:space="preserve">CON 4 </t>
  </si>
  <si>
    <t>Cold Inlet temp HE 6</t>
  </si>
  <si>
    <t>Hot Inlet temp HE 6</t>
  </si>
  <si>
    <t>Heat Exchanger 6: Heat CO2 with catalyst 2 outlet</t>
  </si>
  <si>
    <r>
      <t>HE6: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inlet</t>
    </r>
  </si>
  <si>
    <t>g/min CH4+H2O</t>
  </si>
  <si>
    <t>Catalyst 1 reaction power</t>
  </si>
  <si>
    <r>
      <t>HE7: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CH4 inlet</t>
    </r>
  </si>
  <si>
    <r>
      <t>HE7: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inlet</t>
    </r>
  </si>
  <si>
    <t>HE 5</t>
  </si>
  <si>
    <t>Hot stream outlet temp HE 2</t>
  </si>
  <si>
    <t>22a</t>
  </si>
  <si>
    <t>22b</t>
  </si>
  <si>
    <t>32a</t>
  </si>
  <si>
    <t>32b</t>
  </si>
  <si>
    <t>Hot Inlet temp CON 3</t>
  </si>
  <si>
    <t>Cold Inlet temp CON 3</t>
  </si>
  <si>
    <r>
      <t>T</t>
    </r>
    <r>
      <rPr>
        <vertAlign val="subscript"/>
        <sz val="11"/>
        <color theme="1"/>
        <rFont val="Calibri"/>
        <family val="2"/>
        <scheme val="minor"/>
      </rPr>
      <t>boiler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</si>
  <si>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cat,in</t>
    </r>
  </si>
  <si>
    <r>
      <t>P</t>
    </r>
    <r>
      <rPr>
        <vertAlign val="subscript"/>
        <sz val="11"/>
        <color theme="1"/>
        <rFont val="Calibri"/>
        <family val="2"/>
        <scheme val="minor"/>
      </rPr>
      <t>cat1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</si>
  <si>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cat1,out</t>
    </r>
  </si>
  <si>
    <r>
      <t>T</t>
    </r>
    <r>
      <rPr>
        <vertAlign val="subscript"/>
        <sz val="11"/>
        <color theme="1"/>
        <rFont val="Calibri"/>
        <family val="2"/>
        <scheme val="minor"/>
      </rPr>
      <t>cat2,out</t>
    </r>
  </si>
  <si>
    <t>Total number of Condensers</t>
  </si>
  <si>
    <r>
      <t xml:space="preserve">Air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</si>
  <si>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O2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</si>
  <si>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H2O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</si>
  <si>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H2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</si>
  <si>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CO2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</si>
  <si>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CH4
</t>
    </r>
    <r>
      <rPr>
        <b/>
        <sz val="8"/>
        <color theme="1"/>
        <rFont val="Calibri"/>
        <family val="2"/>
        <scheme val="minor"/>
      </rPr>
      <t>[mol/min]</t>
    </r>
  </si>
  <si>
    <r>
      <t xml:space="preserve">Pressure
</t>
    </r>
    <r>
      <rPr>
        <b/>
        <sz val="8"/>
        <color theme="1"/>
        <rFont val="Calibri"/>
        <family val="2"/>
        <scheme val="minor"/>
      </rPr>
      <t>[bara]</t>
    </r>
  </si>
  <si>
    <r>
      <t xml:space="preserve">Temperature
</t>
    </r>
    <r>
      <rPr>
        <b/>
        <sz val="8"/>
        <color theme="1"/>
        <rFont val="Calibri"/>
        <family val="2"/>
        <scheme val="minor"/>
      </rPr>
      <t>[°C]</t>
    </r>
  </si>
  <si>
    <t>Power requirements</t>
  </si>
  <si>
    <t>Heater 3 (Catalyst 1)</t>
  </si>
  <si>
    <t>Heater 6 (Catalyst 2)</t>
  </si>
  <si>
    <t>CH4 compressior</t>
  </si>
  <si>
    <t>Mass Flow [mol/min]</t>
  </si>
  <si>
    <t>CO2 compressior</t>
  </si>
  <si>
    <r>
      <t>T</t>
    </r>
    <r>
      <rPr>
        <vertAlign val="subscript"/>
        <sz val="11"/>
        <color theme="1"/>
        <rFont val="Calibri"/>
        <family val="2"/>
        <scheme val="minor"/>
      </rPr>
      <t>SHS</t>
    </r>
  </si>
  <si>
    <t>Air Inlet temperature (1)</t>
  </si>
  <si>
    <t>SOC process Temperature (3)</t>
  </si>
  <si>
    <t>Boiler water temperature (10)</t>
  </si>
  <si>
    <t>Boiler pressure (10)</t>
  </si>
  <si>
    <t>Superheated steam temperature (11)</t>
  </si>
  <si>
    <t>Catalyst 1+2 inlet Temperature (25-31)</t>
  </si>
  <si>
    <t>Catalyst 1 outlet Temperature (26)</t>
  </si>
  <si>
    <t>Catalyst 2 outlet Temperature (32a)</t>
  </si>
  <si>
    <t>CO2 supply temperature (22a)</t>
  </si>
  <si>
    <r>
      <t>T</t>
    </r>
    <r>
      <rPr>
        <vertAlign val="subscript"/>
        <sz val="11"/>
        <color theme="1"/>
        <rFont val="Calibri"/>
        <family val="2"/>
        <scheme val="minor"/>
      </rPr>
      <t>CO2, in</t>
    </r>
  </si>
  <si>
    <t>CO2 supply pressure (22a)</t>
  </si>
  <si>
    <r>
      <t>p</t>
    </r>
    <r>
      <rPr>
        <vertAlign val="subscript"/>
        <sz val="11"/>
        <color theme="1"/>
        <rFont val="Calibri"/>
        <family val="2"/>
        <scheme val="minor"/>
      </rPr>
      <t>CO2,in</t>
    </r>
  </si>
  <si>
    <r>
      <t>p</t>
    </r>
    <r>
      <rPr>
        <vertAlign val="subscript"/>
        <sz val="11"/>
        <color theme="1"/>
        <rFont val="Calibri"/>
        <family val="2"/>
        <scheme val="minor"/>
      </rPr>
      <t>boiler</t>
    </r>
  </si>
  <si>
    <r>
      <t>P</t>
    </r>
    <r>
      <rPr>
        <vertAlign val="subscript"/>
        <sz val="11"/>
        <color theme="1"/>
        <rFont val="Calibri"/>
        <family val="2"/>
        <scheme val="minor"/>
      </rPr>
      <t>SOC</t>
    </r>
  </si>
  <si>
    <t>Water system outlet temp (7)</t>
  </si>
  <si>
    <t>Water (steam)</t>
  </si>
  <si>
    <t>Heat Exchanger 4: Heat proces water with SOC Air + O2 outlet</t>
  </si>
  <si>
    <t>Heat Exchanger 3: Heat H2 + CO2 mixture with catalyst 1 outlet gas</t>
  </si>
  <si>
    <t>Heat Exchanger 6: Heat CO2 with catalyst 2 outlet gas</t>
  </si>
  <si>
    <t>Steam temperature after expansion - interpolation table:</t>
  </si>
  <si>
    <t>Derived from steam tables:</t>
  </si>
  <si>
    <t>Overall temperature behind venturi (12)</t>
  </si>
  <si>
    <t>Inlet temperature (11)</t>
  </si>
  <si>
    <t>Inlet pressure (11)</t>
  </si>
  <si>
    <t>Outlet pressure (12)</t>
  </si>
  <si>
    <t>Supply pressure (17)</t>
  </si>
  <si>
    <t>Supply temperature (17)</t>
  </si>
  <si>
    <t>Steam Venturi: SOC supply gas temperature (12)</t>
  </si>
  <si>
    <t>Condenser data and results</t>
  </si>
  <si>
    <t>Venturi 1: H2O steam after expansion</t>
  </si>
  <si>
    <r>
      <t>CON 1.1: Hot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H2 inlet</t>
    </r>
  </si>
  <si>
    <t>HE4: Hot Air + Oxygen Inlet</t>
  </si>
  <si>
    <t>HE 1: Cold Air Outlet</t>
  </si>
  <si>
    <t>HE2: Hot Air + Oxygen Inlet</t>
  </si>
  <si>
    <t>CH4 storage pressure</t>
  </si>
  <si>
    <r>
      <t>p</t>
    </r>
    <r>
      <rPr>
        <vertAlign val="subscript"/>
        <sz val="11"/>
        <color theme="1"/>
        <rFont val="Calibri"/>
        <family val="2"/>
        <scheme val="minor"/>
      </rPr>
      <t>CH4</t>
    </r>
  </si>
  <si>
    <t>b</t>
  </si>
  <si>
    <t>c</t>
  </si>
  <si>
    <t>q</t>
  </si>
  <si>
    <t>p</t>
  </si>
  <si>
    <t>x</t>
  </si>
  <si>
    <r>
      <t>ax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+bx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+cx+d=0</t>
    </r>
  </si>
  <si>
    <t>V [lpm]</t>
  </si>
  <si>
    <t>Required Compressor power</t>
  </si>
  <si>
    <t>* Free energy: water cooling</t>
  </si>
  <si>
    <r>
      <t>CH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: 3-step compression train</t>
    </r>
  </si>
  <si>
    <t>Steam:</t>
  </si>
  <si>
    <t>Water:</t>
  </si>
  <si>
    <r>
      <t>- </t>
    </r>
    <r>
      <rPr>
        <b/>
        <i/>
        <sz val="8.8000000000000007"/>
        <color theme="1"/>
        <rFont val="Calibri"/>
        <family val="2"/>
        <scheme val="minor"/>
      </rPr>
      <t>ρ -</t>
    </r>
  </si>
  <si>
    <r>
      <t>(kg/m</t>
    </r>
    <r>
      <rPr>
        <b/>
        <i/>
        <vertAlign val="superscript"/>
        <sz val="8.8000000000000007"/>
        <color theme="1"/>
        <rFont val="Calibri"/>
        <family val="2"/>
        <scheme val="minor"/>
      </rPr>
      <t>3</t>
    </r>
    <r>
      <rPr>
        <b/>
        <i/>
        <sz val="8.8000000000000007"/>
        <color theme="1"/>
        <rFont val="Calibri"/>
        <family val="2"/>
        <scheme val="minor"/>
      </rPr>
      <t>)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</si>
  <si>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s 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</si>
  <si>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l</t>
    </r>
    <r>
      <rPr>
        <b/>
        <i/>
        <sz val="8.8000000000000007"/>
        <color theme="1"/>
        <rFont val="Calibri"/>
        <family val="2"/>
        <scheme val="minor"/>
      </rPr>
      <t> 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</si>
  <si>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e</t>
    </r>
    <r>
      <rPr>
        <b/>
        <i/>
        <sz val="8.8000000000000007"/>
        <color theme="1"/>
        <rFont val="Calibri"/>
        <family val="2"/>
        <scheme val="minor"/>
      </rPr>
      <t> -</t>
    </r>
  </si>
  <si>
    <r>
      <t>- </t>
    </r>
    <r>
      <rPr>
        <b/>
        <i/>
        <sz val="8.8000000000000007"/>
        <color theme="1"/>
        <rFont val="Calibri"/>
        <family val="2"/>
        <scheme val="minor"/>
      </rPr>
      <t>h</t>
    </r>
    <r>
      <rPr>
        <b/>
        <i/>
        <vertAlign val="subscript"/>
        <sz val="8.8000000000000007"/>
        <color theme="1"/>
        <rFont val="Calibri"/>
        <family val="2"/>
        <scheme val="minor"/>
      </rPr>
      <t>s</t>
    </r>
    <r>
      <rPr>
        <b/>
        <i/>
        <sz val="8.8000000000000007"/>
        <color theme="1"/>
        <rFont val="Calibri"/>
        <family val="2"/>
        <scheme val="minor"/>
      </rPr>
      <t> -</t>
    </r>
  </si>
  <si>
    <t>Heater 5 requirements</t>
  </si>
  <si>
    <t xml:space="preserve">Boiler heat balance </t>
  </si>
  <si>
    <t>Interpolation table: Steam saturation point</t>
  </si>
  <si>
    <t>Interpolation table: Specific enthalpy of evaporation</t>
  </si>
  <si>
    <t>Heater 4:</t>
  </si>
  <si>
    <t>Heat steam to (11)</t>
  </si>
  <si>
    <t>Catalyst inlet temperature (25)</t>
  </si>
  <si>
    <t>Catalyst outlet temperature (26)</t>
  </si>
  <si>
    <t>Overall temperature behind venturi (23)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</si>
  <si>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Venturi: Catalyst supply gas (23)</t>
    </r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</si>
  <si>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</si>
  <si>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H</t>
    </r>
    <r>
      <rPr>
        <b/>
        <vertAlign val="subscript"/>
        <sz val="14"/>
        <color theme="1"/>
        <rFont val="Calibri"/>
        <family val="2"/>
        <scheme val="minor"/>
      </rPr>
      <t xml:space="preserve">2 </t>
    </r>
    <r>
      <rPr>
        <b/>
        <sz val="14"/>
        <color theme="1"/>
        <rFont val="Calibri"/>
        <family val="2"/>
        <scheme val="minor"/>
      </rPr>
      <t>(+ residual H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O)</t>
    </r>
  </si>
  <si>
    <t>Heater (Catalyst): Cold H2 + CO2 + H20 inlet</t>
  </si>
  <si>
    <t xml:space="preserve">Mass fraction H2O </t>
  </si>
  <si>
    <t>CO2 storage pressure</t>
  </si>
  <si>
    <t>CON1.1 cold</t>
  </si>
  <si>
    <t>CON1.1 hot</t>
  </si>
  <si>
    <t>CON1.2 cold</t>
  </si>
  <si>
    <t>Cold Inlet temp CON 1.1</t>
  </si>
  <si>
    <t>Hot Inlet temp CON 1.1</t>
  </si>
  <si>
    <t>Cold stream outlet temp CON 1.1</t>
  </si>
  <si>
    <t>Hot stream outlet temp CON 1.1</t>
  </si>
  <si>
    <t>Hot stream outlet temp HE 4</t>
  </si>
  <si>
    <t>Hot stream outlet temp HE 5</t>
  </si>
  <si>
    <t>Hot stream outlet temp HE 6</t>
  </si>
  <si>
    <r>
      <t>HE2: Cold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vapor + CO2 +CO+H2</t>
    </r>
  </si>
  <si>
    <t>Volume flow out</t>
  </si>
  <si>
    <t>Mass fraction H2O</t>
  </si>
  <si>
    <t>Total Intercooler*</t>
  </si>
  <si>
    <t>CON2 cold</t>
  </si>
  <si>
    <t>CON3 cold</t>
  </si>
  <si>
    <t>CON4 cold</t>
  </si>
  <si>
    <t xml:space="preserve">     Condenser 1.1:</t>
  </si>
  <si>
    <t xml:space="preserve">    Condenser 1.2:</t>
  </si>
  <si>
    <t xml:space="preserve">      Condenser 2:</t>
  </si>
  <si>
    <t xml:space="preserve">      Condenser 4:</t>
  </si>
  <si>
    <t xml:space="preserve">    Condenser 3:</t>
  </si>
  <si>
    <t>Hot Inlet temp CON 1.2</t>
  </si>
  <si>
    <t>Cold Inlet temp CON 1.2</t>
  </si>
  <si>
    <t>Cold stream outlet temp CON 1.2</t>
  </si>
  <si>
    <t>Hot stream outlet temp CON 1.2</t>
  </si>
  <si>
    <t>Hot stream outlet temp CON 3</t>
  </si>
  <si>
    <t>g/min H2O+H2+CO2</t>
  </si>
  <si>
    <t>Condenser 4: Cool catalyst 2 outlet gas with water</t>
  </si>
  <si>
    <t>Condenser 3: Cool catalyst 1 outlet gas with water</t>
  </si>
  <si>
    <t>Condenser 2: Cool catalyst 1 outlet gas with proces water</t>
  </si>
  <si>
    <t xml:space="preserve">SOC ELECTROLYSER MODE </t>
  </si>
  <si>
    <t>Input power SOC</t>
  </si>
  <si>
    <t>Direct contact between Hot Element and insulation</t>
  </si>
  <si>
    <t>Wall temperature Heat Exchanger</t>
  </si>
  <si>
    <t>Average Temp of the 4 flows (hot in/out and cold in/out)</t>
  </si>
  <si>
    <t xml:space="preserve"> Hot Element</t>
  </si>
  <si>
    <t xml:space="preserve"> Insulation</t>
  </si>
  <si>
    <t>Ambient temperature</t>
  </si>
  <si>
    <r>
      <t>T</t>
    </r>
    <r>
      <rPr>
        <vertAlign val="subscript"/>
        <sz val="11"/>
        <color theme="1"/>
        <rFont val="Calibri"/>
        <family val="2"/>
        <scheme val="minor"/>
      </rPr>
      <t>amb</t>
    </r>
  </si>
  <si>
    <t xml:space="preserve"> (Manifold)</t>
  </si>
  <si>
    <t>Insulation thermal conductivity</t>
  </si>
  <si>
    <t>Insulation thickness</t>
  </si>
  <si>
    <t>Heat transfer coefficient insulation to air</t>
  </si>
  <si>
    <t>Derived from Dynaguard microporous board data</t>
  </si>
  <si>
    <t>Heat transfer coefficient solid to insulation</t>
  </si>
  <si>
    <t>Assumption</t>
  </si>
  <si>
    <t>Heat transfer resistance solid to insulation</t>
  </si>
  <si>
    <t>Air layer between Hot Element and Insulation</t>
  </si>
  <si>
    <t>Heat transfer with Air Gap:</t>
  </si>
  <si>
    <t>Air Layer</t>
  </si>
  <si>
    <t>Insulation</t>
  </si>
  <si>
    <t>Air layer thermal conductivity</t>
  </si>
  <si>
    <t>at 500°C</t>
  </si>
  <si>
    <t>Air layer thickness</t>
  </si>
  <si>
    <t>Thermal resistance air layer</t>
  </si>
  <si>
    <t>Heat transfer coefficient solid to air</t>
  </si>
  <si>
    <t>Heat transfer resistance solid to air</t>
  </si>
  <si>
    <t>Hot surface area</t>
  </si>
  <si>
    <t>Heat loss</t>
  </si>
  <si>
    <t>Hot Element to air temperature</t>
  </si>
  <si>
    <t>No insulation</t>
  </si>
  <si>
    <t>Heat transfer no insulation:</t>
  </si>
  <si>
    <t>Heat transfer coefficient HE to air</t>
  </si>
  <si>
    <t>According to general rule of thumb</t>
  </si>
  <si>
    <t>Heat transfer resistance HE to air</t>
  </si>
  <si>
    <t>Hot element to air temperature</t>
  </si>
  <si>
    <t>Required power (heater 1)</t>
  </si>
  <si>
    <t>Required power (heater 2)</t>
  </si>
  <si>
    <t>Required power (heater 3)</t>
  </si>
  <si>
    <t>Nmixture mass flow</t>
  </si>
  <si>
    <t>Required power (heater 6)</t>
  </si>
  <si>
    <t>Density mixture</t>
  </si>
  <si>
    <t>kg/m4</t>
  </si>
  <si>
    <t>Density Mixture</t>
  </si>
  <si>
    <t>J/kgK     for</t>
  </si>
  <si>
    <t>SOC system design, version 18 mrt 2020</t>
  </si>
  <si>
    <t>Volume flow out (cond)</t>
  </si>
  <si>
    <t>Total Condensation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</si>
</sst>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#,##0.000"/>
    <numFmt numFmtId="167" formatCode="0.0000"/>
    <numFmt numFmtId="168" formatCode="0.0E+00"/>
    <numFmt numFmtId="169" formatCode="0.00000"/>
  </numFmts>
  <fonts count="4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8.8000000000000007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name val="Calibri"/>
      <family val="2"/>
      <scheme val="minor"/>
    </font>
    <font>
      <b/>
      <sz val="8.8000000000000007"/>
      <color rgb="FF000000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FF330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8000000000000007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8000000000000007"/>
      <color theme="1"/>
      <name val="Calibri"/>
      <family val="2"/>
      <scheme val="minor"/>
    </font>
    <font>
      <b/>
      <i/>
      <sz val="8.8000000000000007"/>
      <color theme="1"/>
      <name val="Calibri"/>
      <family val="2"/>
      <scheme val="minor"/>
    </font>
    <font>
      <b/>
      <i/>
      <vertAlign val="superscript"/>
      <sz val="8.8000000000000007"/>
      <color theme="1"/>
      <name val="Calibri"/>
      <family val="2"/>
      <scheme val="minor"/>
    </font>
    <font>
      <b/>
      <i/>
      <vertAlign val="subscript"/>
      <sz val="8.8000000000000007"/>
      <color theme="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8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rgb="FF92D050"/>
        <bgColor rgb="FF92D050"/>
      </patternFill>
    </fill>
    <fill>
      <patternFill patternType="solid">
        <fgColor rgb="FFFF6600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CCCCC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C0C0C0"/>
      </right>
      <top style="medium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indexed="64"/>
      </top>
      <bottom/>
      <diagonal/>
    </border>
    <border>
      <left style="medium">
        <color rgb="FFC0C0C0"/>
      </left>
      <right/>
      <top style="medium">
        <color indexed="64"/>
      </top>
      <bottom/>
      <diagonal/>
    </border>
    <border>
      <left/>
      <right style="medium">
        <color rgb="FFC0C0C0"/>
      </right>
      <top style="medium">
        <color indexed="64"/>
      </top>
      <bottom/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75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5" fontId="0" fillId="0" borderId="0" xfId="0" applyNumberFormat="1"/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5" fontId="0" fillId="0" borderId="14" xfId="0" applyNumberFormat="1" applyBorder="1"/>
    <xf numFmtId="166" fontId="4" fillId="0" borderId="14" xfId="0" applyNumberFormat="1" applyFont="1" applyBorder="1" applyAlignment="1">
      <alignment horizont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9" xfId="0" applyBorder="1"/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wrapText="1"/>
    </xf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1" fontId="0" fillId="2" borderId="22" xfId="0" applyNumberFormat="1" applyFill="1" applyBorder="1"/>
    <xf numFmtId="3" fontId="0" fillId="0" borderId="0" xfId="0" applyNumberFormat="1"/>
    <xf numFmtId="0" fontId="7" fillId="0" borderId="14" xfId="0" applyNumberFormat="1" applyFont="1" applyBorder="1"/>
    <xf numFmtId="0" fontId="7" fillId="0" borderId="20" xfId="0" applyFont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2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" fontId="0" fillId="3" borderId="12" xfId="0" applyNumberFormat="1" applyFill="1" applyBorder="1"/>
    <xf numFmtId="0" fontId="0" fillId="3" borderId="1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0" borderId="14" xfId="0" applyNumberFormat="1" applyBorder="1"/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" borderId="27" xfId="0" applyFill="1" applyBorder="1"/>
    <xf numFmtId="0" fontId="0" fillId="0" borderId="27" xfId="0" applyFill="1" applyBorder="1"/>
    <xf numFmtId="165" fontId="0" fillId="3" borderId="27" xfId="0" applyNumberFormat="1" applyFill="1" applyBorder="1"/>
    <xf numFmtId="1" fontId="0" fillId="3" borderId="27" xfId="0" applyNumberFormat="1" applyFill="1" applyBorder="1"/>
    <xf numFmtId="0" fontId="0" fillId="4" borderId="27" xfId="0" applyFill="1" applyBorder="1"/>
    <xf numFmtId="165" fontId="0" fillId="4" borderId="27" xfId="0" applyNumberFormat="1" applyFill="1" applyBorder="1"/>
    <xf numFmtId="1" fontId="0" fillId="4" borderId="27" xfId="0" applyNumberFormat="1" applyFill="1" applyBorder="1"/>
    <xf numFmtId="0" fontId="0" fillId="2" borderId="27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30" xfId="0" applyFill="1" applyBorder="1"/>
    <xf numFmtId="0" fontId="0" fillId="4" borderId="31" xfId="0" applyFill="1" applyBorder="1"/>
    <xf numFmtId="0" fontId="0" fillId="2" borderId="30" xfId="0" applyFill="1" applyBorder="1"/>
    <xf numFmtId="0" fontId="0" fillId="2" borderId="32" xfId="0" applyFill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1" fontId="10" fillId="0" borderId="0" xfId="0" applyNumberFormat="1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28" xfId="0" applyFont="1" applyFill="1" applyBorder="1"/>
    <xf numFmtId="0" fontId="3" fillId="4" borderId="29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3" fillId="4" borderId="10" xfId="0" applyFont="1" applyFill="1" applyBorder="1"/>
    <xf numFmtId="0" fontId="0" fillId="2" borderId="35" xfId="0" applyFill="1" applyBorder="1"/>
    <xf numFmtId="0" fontId="2" fillId="2" borderId="36" xfId="0" applyFont="1" applyFill="1" applyBorder="1"/>
    <xf numFmtId="0" fontId="0" fillId="2" borderId="36" xfId="0" applyFill="1" applyBorder="1"/>
    <xf numFmtId="0" fontId="0" fillId="3" borderId="33" xfId="0" applyFill="1" applyBorder="1"/>
    <xf numFmtId="0" fontId="0" fillId="3" borderId="34" xfId="0" applyFill="1" applyBorder="1"/>
    <xf numFmtId="0" fontId="0" fillId="0" borderId="34" xfId="0" applyFill="1" applyBorder="1"/>
    <xf numFmtId="0" fontId="8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" fontId="8" fillId="0" borderId="1" xfId="0" applyNumberFormat="1" applyFont="1" applyBorder="1"/>
    <xf numFmtId="0" fontId="11" fillId="0" borderId="0" xfId="0" applyFont="1"/>
    <xf numFmtId="0" fontId="0" fillId="6" borderId="27" xfId="0" applyFill="1" applyBorder="1"/>
    <xf numFmtId="2" fontId="0" fillId="6" borderId="27" xfId="0" applyNumberFormat="1" applyFill="1" applyBorder="1"/>
    <xf numFmtId="2" fontId="0" fillId="0" borderId="27" xfId="0" applyNumberFormat="1" applyFill="1" applyBorder="1"/>
    <xf numFmtId="0" fontId="0" fillId="6" borderId="30" xfId="0" applyFill="1" applyBorder="1"/>
    <xf numFmtId="0" fontId="0" fillId="6" borderId="31" xfId="0" applyFill="1" applyBorder="1"/>
    <xf numFmtId="165" fontId="0" fillId="6" borderId="27" xfId="0" applyNumberFormat="1" applyFill="1" applyBorder="1"/>
    <xf numFmtId="0" fontId="12" fillId="0" borderId="0" xfId="0" applyFont="1"/>
    <xf numFmtId="0" fontId="11" fillId="5" borderId="24" xfId="0" applyFont="1" applyFill="1" applyBorder="1"/>
    <xf numFmtId="0" fontId="11" fillId="5" borderId="26" xfId="0" applyFont="1" applyFill="1" applyBorder="1"/>
    <xf numFmtId="164" fontId="0" fillId="3" borderId="27" xfId="0" applyNumberFormat="1" applyFill="1" applyBorder="1"/>
    <xf numFmtId="165" fontId="0" fillId="2" borderId="42" xfId="0" applyNumberFormat="1" applyFill="1" applyBorder="1"/>
    <xf numFmtId="2" fontId="0" fillId="2" borderId="42" xfId="0" applyNumberFormat="1" applyFill="1" applyBorder="1"/>
    <xf numFmtId="1" fontId="0" fillId="2" borderId="4" xfId="0" applyNumberFormat="1" applyFill="1" applyBorder="1"/>
    <xf numFmtId="0" fontId="0" fillId="3" borderId="43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36" xfId="0" applyFill="1" applyBorder="1"/>
    <xf numFmtId="1" fontId="11" fillId="5" borderId="46" xfId="0" applyNumberFormat="1" applyFont="1" applyFill="1" applyBorder="1" applyAlignment="1">
      <alignment vertical="top"/>
    </xf>
    <xf numFmtId="0" fontId="11" fillId="5" borderId="47" xfId="0" applyFont="1" applyFill="1" applyBorder="1" applyAlignment="1">
      <alignment horizontal="right" vertical="top"/>
    </xf>
    <xf numFmtId="0" fontId="11" fillId="5" borderId="47" xfId="0" applyFont="1" applyFill="1" applyBorder="1" applyAlignment="1">
      <alignment vertical="top"/>
    </xf>
    <xf numFmtId="0" fontId="11" fillId="5" borderId="48" xfId="0" applyFont="1" applyFill="1" applyBorder="1" applyAlignment="1">
      <alignment vertical="top"/>
    </xf>
    <xf numFmtId="0" fontId="11" fillId="5" borderId="46" xfId="0" applyFont="1" applyFill="1" applyBorder="1"/>
    <xf numFmtId="1" fontId="11" fillId="5" borderId="48" xfId="0" applyNumberFormat="1" applyFont="1" applyFill="1" applyBorder="1" applyAlignment="1">
      <alignment vertical="top"/>
    </xf>
    <xf numFmtId="0" fontId="0" fillId="5" borderId="26" xfId="0" applyFill="1" applyBorder="1"/>
    <xf numFmtId="1" fontId="11" fillId="5" borderId="25" xfId="0" applyNumberFormat="1" applyFont="1" applyFill="1" applyBorder="1"/>
    <xf numFmtId="0" fontId="11" fillId="5" borderId="25" xfId="0" applyFont="1" applyFill="1" applyBorder="1"/>
    <xf numFmtId="0" fontId="11" fillId="5" borderId="24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31" xfId="0" applyFill="1" applyBorder="1"/>
    <xf numFmtId="0" fontId="0" fillId="3" borderId="35" xfId="0" applyFill="1" applyBorder="1"/>
    <xf numFmtId="0" fontId="0" fillId="3" borderId="37" xfId="0" applyFill="1" applyBorder="1"/>
    <xf numFmtId="0" fontId="0" fillId="0" borderId="0" xfId="0" applyFill="1"/>
    <xf numFmtId="0" fontId="0" fillId="3" borderId="7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27" xfId="0" applyFont="1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3" fillId="4" borderId="6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4" borderId="10" xfId="0" applyFill="1" applyBorder="1"/>
    <xf numFmtId="0" fontId="0" fillId="4" borderId="30" xfId="0" applyFill="1" applyBorder="1"/>
    <xf numFmtId="0" fontId="0" fillId="4" borderId="27" xfId="0" applyFill="1" applyBorder="1" applyAlignment="1">
      <alignment horizontal="right"/>
    </xf>
    <xf numFmtId="0" fontId="0" fillId="4" borderId="2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3" fillId="4" borderId="27" xfId="0" applyFont="1" applyFill="1" applyBorder="1" applyAlignment="1">
      <alignment horizontal="right"/>
    </xf>
    <xf numFmtId="2" fontId="0" fillId="4" borderId="27" xfId="0" applyNumberFormat="1" applyFill="1" applyBorder="1"/>
    <xf numFmtId="164" fontId="0" fillId="4" borderId="27" xfId="0" applyNumberFormat="1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4" xfId="0" applyFill="1" applyBorder="1" applyAlignment="1">
      <alignment horizontal="right"/>
    </xf>
    <xf numFmtId="0" fontId="0" fillId="4" borderId="37" xfId="0" applyFill="1" applyBorder="1"/>
    <xf numFmtId="2" fontId="0" fillId="3" borderId="27" xfId="0" applyNumberFormat="1" applyFill="1" applyBorder="1"/>
    <xf numFmtId="0" fontId="4" fillId="0" borderId="5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8" borderId="55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4" fillId="8" borderId="0" xfId="0" applyNumberFormat="1" applyFont="1" applyFill="1" applyBorder="1" applyAlignment="1">
      <alignment horizontal="center" wrapText="1"/>
    </xf>
    <xf numFmtId="2" fontId="0" fillId="0" borderId="14" xfId="0" applyNumberFormat="1" applyBorder="1"/>
    <xf numFmtId="0" fontId="4" fillId="0" borderId="54" xfId="0" applyFont="1" applyBorder="1" applyAlignment="1">
      <alignment horizontal="center" wrapText="1"/>
    </xf>
    <xf numFmtId="0" fontId="4" fillId="8" borderId="56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164" fontId="0" fillId="3" borderId="34" xfId="0" applyNumberFormat="1" applyFill="1" applyBorder="1"/>
    <xf numFmtId="167" fontId="0" fillId="4" borderId="27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3" borderId="59" xfId="0" applyFill="1" applyBorder="1"/>
    <xf numFmtId="0" fontId="0" fillId="4" borderId="59" xfId="0" applyFill="1" applyBorder="1"/>
    <xf numFmtId="164" fontId="0" fillId="4" borderId="59" xfId="0" applyNumberFormat="1" applyFill="1" applyBorder="1"/>
    <xf numFmtId="0" fontId="0" fillId="4" borderId="51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8" fillId="0" borderId="0" xfId="0" applyNumberFormat="1" applyFont="1"/>
    <xf numFmtId="0" fontId="0" fillId="3" borderId="4" xfId="0" applyFill="1" applyBorder="1"/>
    <xf numFmtId="0" fontId="0" fillId="4" borderId="38" xfId="0" applyFill="1" applyBorder="1"/>
    <xf numFmtId="0" fontId="0" fillId="3" borderId="38" xfId="0" applyFill="1" applyBorder="1"/>
    <xf numFmtId="165" fontId="0" fillId="3" borderId="38" xfId="0" applyNumberFormat="1" applyFill="1" applyBorder="1"/>
    <xf numFmtId="2" fontId="0" fillId="3" borderId="38" xfId="0" applyNumberFormat="1" applyFill="1" applyBorder="1"/>
    <xf numFmtId="164" fontId="0" fillId="3" borderId="38" xfId="0" applyNumberFormat="1" applyFill="1" applyBorder="1"/>
    <xf numFmtId="0" fontId="0" fillId="3" borderId="49" xfId="0" applyFill="1" applyBorder="1"/>
    <xf numFmtId="0" fontId="0" fillId="3" borderId="36" xfId="0" applyFill="1" applyBorder="1" applyAlignment="1">
      <alignment horizontal="right"/>
    </xf>
    <xf numFmtId="0" fontId="0" fillId="3" borderId="36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62" xfId="0" applyFill="1" applyBorder="1"/>
    <xf numFmtId="0" fontId="0" fillId="3" borderId="63" xfId="0" applyFill="1" applyBorder="1"/>
    <xf numFmtId="2" fontId="0" fillId="4" borderId="34" xfId="0" applyNumberFormat="1" applyFill="1" applyBorder="1"/>
    <xf numFmtId="0" fontId="3" fillId="4" borderId="34" xfId="0" applyFont="1" applyFill="1" applyBorder="1" applyAlignment="1">
      <alignment horizontal="right"/>
    </xf>
    <xf numFmtId="2" fontId="0" fillId="3" borderId="34" xfId="0" applyNumberFormat="1" applyFill="1" applyBorder="1"/>
    <xf numFmtId="0" fontId="3" fillId="3" borderId="34" xfId="0" applyFont="1" applyFill="1" applyBorder="1" applyAlignment="1">
      <alignment horizontal="right"/>
    </xf>
    <xf numFmtId="1" fontId="10" fillId="0" borderId="0" xfId="0" applyNumberFormat="1" applyFont="1" applyBorder="1"/>
    <xf numFmtId="164" fontId="10" fillId="0" borderId="0" xfId="0" applyNumberFormat="1" applyFont="1" applyBorder="1"/>
    <xf numFmtId="164" fontId="0" fillId="4" borderId="43" xfId="0" applyNumberFormat="1" applyFill="1" applyBorder="1"/>
    <xf numFmtId="164" fontId="0" fillId="3" borderId="12" xfId="0" applyNumberFormat="1" applyFill="1" applyBorder="1"/>
    <xf numFmtId="0" fontId="0" fillId="6" borderId="4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/>
    <xf numFmtId="0" fontId="0" fillId="9" borderId="38" xfId="0" applyFill="1" applyBorder="1"/>
    <xf numFmtId="0" fontId="0" fillId="9" borderId="27" xfId="0" applyFill="1" applyBorder="1"/>
    <xf numFmtId="0" fontId="0" fillId="9" borderId="31" xfId="0" applyFill="1" applyBorder="1"/>
    <xf numFmtId="0" fontId="0" fillId="9" borderId="30" xfId="0" applyFill="1" applyBorder="1"/>
    <xf numFmtId="0" fontId="0" fillId="6" borderId="52" xfId="0" applyFill="1" applyBorder="1"/>
    <xf numFmtId="0" fontId="0" fillId="6" borderId="43" xfId="0" applyFill="1" applyBorder="1"/>
    <xf numFmtId="165" fontId="0" fillId="6" borderId="43" xfId="0" applyNumberFormat="1" applyFill="1" applyBorder="1"/>
    <xf numFmtId="0" fontId="0" fillId="7" borderId="24" xfId="0" applyFill="1" applyBorder="1"/>
    <xf numFmtId="0" fontId="0" fillId="7" borderId="25" xfId="0" applyFill="1" applyBorder="1"/>
    <xf numFmtId="0" fontId="0" fillId="9" borderId="4" xfId="0" applyFill="1" applyBorder="1"/>
    <xf numFmtId="166" fontId="4" fillId="0" borderId="56" xfId="0" applyNumberFormat="1" applyFont="1" applyBorder="1" applyAlignment="1">
      <alignment horizontal="center" wrapText="1"/>
    </xf>
    <xf numFmtId="166" fontId="4" fillId="0" borderId="58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5" fontId="0" fillId="0" borderId="14" xfId="0" applyNumberFormat="1" applyFill="1" applyBorder="1"/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2" fontId="0" fillId="0" borderId="14" xfId="0" applyNumberFormat="1" applyFill="1" applyBorder="1"/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165" fontId="0" fillId="0" borderId="0" xfId="0" applyNumberFormat="1" applyFill="1"/>
    <xf numFmtId="166" fontId="4" fillId="0" borderId="56" xfId="0" applyNumberFormat="1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166" fontId="4" fillId="0" borderId="58" xfId="0" applyNumberFormat="1" applyFont="1" applyFill="1" applyBorder="1" applyAlignment="1">
      <alignment horizontal="center" wrapText="1"/>
    </xf>
    <xf numFmtId="165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/>
    </xf>
    <xf numFmtId="2" fontId="0" fillId="2" borderId="16" xfId="0" applyNumberFormat="1" applyFill="1" applyBorder="1"/>
    <xf numFmtId="166" fontId="4" fillId="0" borderId="54" xfId="0" applyNumberFormat="1" applyFont="1" applyBorder="1" applyAlignment="1">
      <alignment horizontal="center" wrapText="1"/>
    </xf>
    <xf numFmtId="166" fontId="4" fillId="8" borderId="56" xfId="0" applyNumberFormat="1" applyFont="1" applyFill="1" applyBorder="1" applyAlignment="1">
      <alignment horizontal="center" wrapText="1"/>
    </xf>
    <xf numFmtId="0" fontId="0" fillId="4" borderId="6" xfId="0" applyFill="1" applyBorder="1"/>
    <xf numFmtId="2" fontId="0" fillId="4" borderId="7" xfId="0" applyNumberFormat="1" applyFill="1" applyBorder="1"/>
    <xf numFmtId="2" fontId="0" fillId="4" borderId="0" xfId="0" applyNumberFormat="1" applyFill="1" applyBorder="1"/>
    <xf numFmtId="0" fontId="0" fillId="4" borderId="11" xfId="0" applyFill="1" applyBorder="1"/>
    <xf numFmtId="0" fontId="0" fillId="4" borderId="12" xfId="0" applyFill="1" applyBorder="1"/>
    <xf numFmtId="2" fontId="0" fillId="4" borderId="12" xfId="0" applyNumberFormat="1" applyFill="1" applyBorder="1"/>
    <xf numFmtId="1" fontId="0" fillId="4" borderId="12" xfId="0" applyNumberFormat="1" applyFill="1" applyBorder="1"/>
    <xf numFmtId="0" fontId="0" fillId="4" borderId="13" xfId="0" applyFill="1" applyBorder="1"/>
    <xf numFmtId="0" fontId="3" fillId="9" borderId="6" xfId="0" applyFont="1" applyFill="1" applyBorder="1"/>
    <xf numFmtId="0" fontId="0" fillId="9" borderId="43" xfId="0" applyFill="1" applyBorder="1"/>
    <xf numFmtId="0" fontId="0" fillId="9" borderId="52" xfId="0" applyFill="1" applyBorder="1"/>
    <xf numFmtId="0" fontId="0" fillId="9" borderId="44" xfId="0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37" xfId="0" applyFill="1" applyBorder="1"/>
    <xf numFmtId="0" fontId="0" fillId="9" borderId="68" xfId="0" applyFill="1" applyBorder="1"/>
    <xf numFmtId="0" fontId="0" fillId="9" borderId="69" xfId="0" applyFill="1" applyBorder="1"/>
    <xf numFmtId="0" fontId="0" fillId="2" borderId="42" xfId="0" applyFill="1" applyBorder="1"/>
    <xf numFmtId="164" fontId="0" fillId="3" borderId="31" xfId="0" applyNumberFormat="1" applyFill="1" applyBorder="1"/>
    <xf numFmtId="164" fontId="0" fillId="4" borderId="31" xfId="0" applyNumberFormat="1" applyFill="1" applyBorder="1"/>
    <xf numFmtId="0" fontId="3" fillId="0" borderId="0" xfId="0" applyFont="1"/>
    <xf numFmtId="164" fontId="10" fillId="0" borderId="0" xfId="0" applyNumberFormat="1" applyFont="1"/>
    <xf numFmtId="2" fontId="0" fillId="6" borderId="71" xfId="0" applyNumberFormat="1" applyFill="1" applyBorder="1"/>
    <xf numFmtId="0" fontId="0" fillId="6" borderId="71" xfId="0" applyFill="1" applyBorder="1"/>
    <xf numFmtId="0" fontId="0" fillId="0" borderId="38" xfId="0" applyFill="1" applyBorder="1"/>
    <xf numFmtId="0" fontId="0" fillId="2" borderId="71" xfId="0" applyFill="1" applyBorder="1"/>
    <xf numFmtId="0" fontId="0" fillId="2" borderId="75" xfId="0" applyFill="1" applyBorder="1"/>
    <xf numFmtId="0" fontId="0" fillId="2" borderId="34" xfId="0" applyFill="1" applyBorder="1"/>
    <xf numFmtId="1" fontId="0" fillId="2" borderId="27" xfId="0" applyNumberFormat="1" applyFill="1" applyBorder="1"/>
    <xf numFmtId="164" fontId="0" fillId="2" borderId="5" xfId="0" applyNumberFormat="1" applyFill="1" applyBorder="1"/>
    <xf numFmtId="0" fontId="0" fillId="2" borderId="33" xfId="0" applyFill="1" applyBorder="1"/>
    <xf numFmtId="1" fontId="0" fillId="2" borderId="34" xfId="0" applyNumberFormat="1" applyFill="1" applyBorder="1"/>
    <xf numFmtId="0" fontId="0" fillId="2" borderId="78" xfId="0" applyFill="1" applyBorder="1"/>
    <xf numFmtId="0" fontId="0" fillId="2" borderId="79" xfId="0" applyFill="1" applyBorder="1"/>
    <xf numFmtId="164" fontId="0" fillId="2" borderId="16" xfId="0" applyNumberFormat="1" applyFill="1" applyBorder="1"/>
    <xf numFmtId="164" fontId="0" fillId="2" borderId="22" xfId="0" applyNumberFormat="1" applyFill="1" applyBorder="1"/>
    <xf numFmtId="1" fontId="3" fillId="0" borderId="0" xfId="0" applyNumberFormat="1" applyFont="1" applyBorder="1"/>
    <xf numFmtId="0" fontId="0" fillId="11" borderId="0" xfId="0" applyFill="1" applyBorder="1"/>
    <xf numFmtId="0" fontId="0" fillId="6" borderId="0" xfId="0" applyFill="1" applyBorder="1"/>
    <xf numFmtId="0" fontId="0" fillId="6" borderId="36" xfId="0" applyFill="1" applyBorder="1"/>
    <xf numFmtId="0" fontId="0" fillId="6" borderId="45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52" xfId="0" applyFill="1" applyBorder="1"/>
    <xf numFmtId="0" fontId="0" fillId="3" borderId="80" xfId="0" applyFill="1" applyBorder="1"/>
    <xf numFmtId="0" fontId="0" fillId="3" borderId="83" xfId="0" applyFill="1" applyBorder="1"/>
    <xf numFmtId="0" fontId="0" fillId="3" borderId="71" xfId="0" applyFill="1" applyBorder="1"/>
    <xf numFmtId="1" fontId="0" fillId="3" borderId="34" xfId="0" applyNumberFormat="1" applyFill="1" applyBorder="1"/>
    <xf numFmtId="0" fontId="0" fillId="5" borderId="39" xfId="0" applyFill="1" applyBorder="1"/>
    <xf numFmtId="0" fontId="0" fillId="5" borderId="41" xfId="0" applyFill="1" applyBorder="1"/>
    <xf numFmtId="0" fontId="0" fillId="5" borderId="30" xfId="0" applyFill="1" applyBorder="1"/>
    <xf numFmtId="0" fontId="2" fillId="5" borderId="27" xfId="0" applyFont="1" applyFill="1" applyBorder="1"/>
    <xf numFmtId="0" fontId="0" fillId="5" borderId="31" xfId="0" applyFill="1" applyBorder="1"/>
    <xf numFmtId="0" fontId="0" fillId="5" borderId="27" xfId="0" applyFill="1" applyBorder="1"/>
    <xf numFmtId="0" fontId="0" fillId="5" borderId="0" xfId="0" applyFill="1" applyBorder="1"/>
    <xf numFmtId="0" fontId="0" fillId="5" borderId="12" xfId="0" applyFill="1" applyBorder="1"/>
    <xf numFmtId="0" fontId="0" fillId="5" borderId="40" xfId="0" applyFill="1" applyBorder="1"/>
    <xf numFmtId="0" fontId="12" fillId="0" borderId="0" xfId="0" applyFont="1" applyFill="1" applyBorder="1"/>
    <xf numFmtId="0" fontId="2" fillId="6" borderId="27" xfId="0" applyFont="1" applyFill="1" applyBorder="1"/>
    <xf numFmtId="0" fontId="0" fillId="6" borderId="27" xfId="0" applyFont="1" applyFill="1" applyBorder="1"/>
    <xf numFmtId="0" fontId="0" fillId="5" borderId="7" xfId="0" applyFill="1" applyBorder="1"/>
    <xf numFmtId="0" fontId="11" fillId="6" borderId="0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164" fontId="0" fillId="6" borderId="27" xfId="0" applyNumberFormat="1" applyFill="1" applyBorder="1"/>
    <xf numFmtId="1" fontId="11" fillId="11" borderId="0" xfId="0" applyNumberFormat="1" applyFont="1" applyFill="1" applyBorder="1"/>
    <xf numFmtId="0" fontId="11" fillId="11" borderId="0" xfId="0" applyFont="1" applyFill="1" applyBorder="1"/>
    <xf numFmtId="1" fontId="0" fillId="0" borderId="27" xfId="0" applyNumberFormat="1" applyFill="1" applyBorder="1"/>
    <xf numFmtId="1" fontId="11" fillId="11" borderId="0" xfId="0" applyNumberFormat="1" applyFont="1" applyFill="1" applyBorder="1" applyAlignment="1">
      <alignment horizontal="left"/>
    </xf>
    <xf numFmtId="1" fontId="11" fillId="5" borderId="9" xfId="0" applyNumberFormat="1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left"/>
    </xf>
    <xf numFmtId="1" fontId="11" fillId="0" borderId="38" xfId="0" applyNumberFormat="1" applyFont="1" applyFill="1" applyBorder="1" applyAlignment="1">
      <alignment horizontal="left"/>
    </xf>
    <xf numFmtId="1" fontId="11" fillId="6" borderId="0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right"/>
    </xf>
    <xf numFmtId="1" fontId="11" fillId="11" borderId="38" xfId="0" applyNumberFormat="1" applyFont="1" applyFill="1" applyBorder="1" applyAlignment="1">
      <alignment horizontal="left"/>
    </xf>
    <xf numFmtId="0" fontId="0" fillId="5" borderId="11" xfId="0" applyFill="1" applyBorder="1"/>
    <xf numFmtId="0" fontId="0" fillId="5" borderId="13" xfId="0" applyFill="1" applyBorder="1"/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/>
    <xf numFmtId="1" fontId="0" fillId="0" borderId="0" xfId="0" applyNumberFormat="1" applyFill="1" applyBorder="1" applyAlignment="1">
      <alignment horizontal="left"/>
    </xf>
    <xf numFmtId="0" fontId="0" fillId="9" borderId="61" xfId="0" applyFill="1" applyBorder="1"/>
    <xf numFmtId="0" fontId="0" fillId="9" borderId="49" xfId="0" applyFill="1" applyBorder="1"/>
    <xf numFmtId="0" fontId="0" fillId="9" borderId="71" xfId="0" applyFill="1" applyBorder="1"/>
    <xf numFmtId="0" fontId="0" fillId="9" borderId="73" xfId="0" applyFill="1" applyBorder="1"/>
    <xf numFmtId="0" fontId="0" fillId="9" borderId="62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77" xfId="0" applyFill="1" applyBorder="1"/>
    <xf numFmtId="1" fontId="0" fillId="0" borderId="40" xfId="0" applyNumberFormat="1" applyFill="1" applyBorder="1"/>
    <xf numFmtId="1" fontId="0" fillId="6" borderId="27" xfId="0" applyNumberFormat="1" applyFill="1" applyBorder="1"/>
    <xf numFmtId="0" fontId="0" fillId="6" borderId="35" xfId="0" applyFill="1" applyBorder="1"/>
    <xf numFmtId="11" fontId="0" fillId="4" borderId="27" xfId="0" applyNumberFormat="1" applyFill="1" applyBorder="1"/>
    <xf numFmtId="11" fontId="0" fillId="3" borderId="27" xfId="0" applyNumberFormat="1" applyFill="1" applyBorder="1"/>
    <xf numFmtId="11" fontId="0" fillId="3" borderId="38" xfId="0" applyNumberFormat="1" applyFill="1" applyBorder="1"/>
    <xf numFmtId="11" fontId="0" fillId="0" borderId="0" xfId="0" applyNumberFormat="1"/>
    <xf numFmtId="0" fontId="0" fillId="0" borderId="0" xfId="0" applyFont="1" applyFill="1"/>
    <xf numFmtId="0" fontId="0" fillId="0" borderId="0" xfId="0" applyFont="1"/>
    <xf numFmtId="1" fontId="0" fillId="0" borderId="0" xfId="0" applyNumberFormat="1"/>
    <xf numFmtId="0" fontId="0" fillId="0" borderId="0" xfId="0" applyFill="1" applyBorder="1" applyAlignment="1">
      <alignment horizontal="left"/>
    </xf>
    <xf numFmtId="164" fontId="0" fillId="4" borderId="12" xfId="0" applyNumberFormat="1" applyFill="1" applyBorder="1"/>
    <xf numFmtId="164" fontId="8" fillId="0" borderId="1" xfId="0" applyNumberFormat="1" applyFont="1" applyBorder="1"/>
    <xf numFmtId="2" fontId="0" fillId="4" borderId="31" xfId="0" applyNumberFormat="1" applyFill="1" applyBorder="1"/>
    <xf numFmtId="0" fontId="0" fillId="4" borderId="4" xfId="0" applyFill="1" applyBorder="1"/>
    <xf numFmtId="165" fontId="0" fillId="4" borderId="31" xfId="0" applyNumberFormat="1" applyFill="1" applyBorder="1"/>
    <xf numFmtId="0" fontId="0" fillId="9" borderId="24" xfId="0" applyFill="1" applyBorder="1"/>
    <xf numFmtId="0" fontId="0" fillId="9" borderId="25" xfId="0" applyFill="1" applyBorder="1"/>
    <xf numFmtId="2" fontId="0" fillId="6" borderId="30" xfId="0" applyNumberFormat="1" applyFill="1" applyBorder="1"/>
    <xf numFmtId="2" fontId="0" fillId="0" borderId="30" xfId="0" applyNumberFormat="1" applyFill="1" applyBorder="1"/>
    <xf numFmtId="0" fontId="0" fillId="6" borderId="33" xfId="0" applyFill="1" applyBorder="1"/>
    <xf numFmtId="0" fontId="0" fillId="6" borderId="34" xfId="0" applyFill="1" applyBorder="1"/>
    <xf numFmtId="0" fontId="0" fillId="4" borderId="78" xfId="0" applyFill="1" applyBorder="1"/>
    <xf numFmtId="0" fontId="0" fillId="0" borderId="13" xfId="0" applyBorder="1"/>
    <xf numFmtId="0" fontId="0" fillId="0" borderId="12" xfId="0" applyBorder="1"/>
    <xf numFmtId="0" fontId="0" fillId="6" borderId="5" xfId="0" applyFill="1" applyBorder="1" applyAlignment="1">
      <alignment horizontal="right"/>
    </xf>
    <xf numFmtId="2" fontId="0" fillId="6" borderId="43" xfId="0" applyNumberFormat="1" applyFill="1" applyBorder="1"/>
    <xf numFmtId="0" fontId="0" fillId="6" borderId="72" xfId="0" applyFill="1" applyBorder="1" applyAlignment="1">
      <alignment horizontal="right"/>
    </xf>
    <xf numFmtId="2" fontId="0" fillId="6" borderId="36" xfId="0" applyNumberFormat="1" applyFill="1" applyBorder="1"/>
    <xf numFmtId="0" fontId="0" fillId="6" borderId="1" xfId="0" applyFill="1" applyBorder="1" applyAlignment="1">
      <alignment horizontal="right"/>
    </xf>
    <xf numFmtId="0" fontId="11" fillId="0" borderId="0" xfId="0" applyFont="1" applyFill="1" applyBorder="1" applyAlignment="1"/>
    <xf numFmtId="0" fontId="3" fillId="6" borderId="67" xfId="0" applyFont="1" applyFill="1" applyBorder="1"/>
    <xf numFmtId="0" fontId="0" fillId="6" borderId="68" xfId="0" applyFill="1" applyBorder="1"/>
    <xf numFmtId="0" fontId="0" fillId="6" borderId="68" xfId="0" applyFill="1" applyBorder="1" applyAlignment="1">
      <alignment horizontal="right"/>
    </xf>
    <xf numFmtId="0" fontId="0" fillId="6" borderId="69" xfId="0" applyFill="1" applyBorder="1"/>
    <xf numFmtId="0" fontId="0" fillId="6" borderId="32" xfId="0" applyFill="1" applyBorder="1"/>
    <xf numFmtId="0" fontId="11" fillId="0" borderId="0" xfId="0" applyFont="1" applyFill="1" applyBorder="1" applyAlignment="1">
      <alignment horizontal="center"/>
    </xf>
    <xf numFmtId="0" fontId="0" fillId="6" borderId="72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9" borderId="27" xfId="0" applyFont="1" applyFill="1" applyBorder="1" applyAlignment="1">
      <alignment horizontal="center" vertical="center"/>
    </xf>
    <xf numFmtId="0" fontId="0" fillId="9" borderId="27" xfId="0" applyFill="1" applyBorder="1" applyAlignment="1">
      <alignment horizontal="left"/>
    </xf>
    <xf numFmtId="0" fontId="0" fillId="6" borderId="67" xfId="0" applyFill="1" applyBorder="1"/>
    <xf numFmtId="0" fontId="0" fillId="6" borderId="64" xfId="0" applyFill="1" applyBorder="1" applyAlignment="1">
      <alignment horizontal="right"/>
    </xf>
    <xf numFmtId="0" fontId="0" fillId="6" borderId="41" xfId="0" applyFill="1" applyBorder="1"/>
    <xf numFmtId="0" fontId="0" fillId="6" borderId="74" xfId="0" applyFill="1" applyBorder="1"/>
    <xf numFmtId="0" fontId="0" fillId="6" borderId="75" xfId="0" applyFill="1" applyBorder="1"/>
    <xf numFmtId="0" fontId="0" fillId="6" borderId="75" xfId="0" applyFill="1" applyBorder="1" applyAlignment="1">
      <alignment horizontal="right"/>
    </xf>
    <xf numFmtId="165" fontId="0" fillId="6" borderId="34" xfId="0" applyNumberFormat="1" applyFill="1" applyBorder="1"/>
    <xf numFmtId="0" fontId="0" fillId="6" borderId="37" xfId="0" applyFill="1" applyBorder="1"/>
    <xf numFmtId="165" fontId="0" fillId="9" borderId="27" xfId="0" applyNumberFormat="1" applyFill="1" applyBorder="1"/>
    <xf numFmtId="0" fontId="0" fillId="4" borderId="80" xfId="0" applyFill="1" applyBorder="1"/>
    <xf numFmtId="1" fontId="0" fillId="4" borderId="34" xfId="0" applyNumberFormat="1" applyFill="1" applyBorder="1"/>
    <xf numFmtId="2" fontId="0" fillId="0" borderId="0" xfId="0" applyNumberFormat="1" applyFill="1" applyBorder="1"/>
    <xf numFmtId="0" fontId="0" fillId="0" borderId="0" xfId="0" applyNumberFormat="1"/>
    <xf numFmtId="0" fontId="2" fillId="2" borderId="27" xfId="0" applyFont="1" applyFill="1" applyBorder="1"/>
    <xf numFmtId="2" fontId="0" fillId="2" borderId="27" xfId="0" applyNumberFormat="1" applyFill="1" applyBorder="1"/>
    <xf numFmtId="164" fontId="0" fillId="2" borderId="27" xfId="0" applyNumberFormat="1" applyFill="1" applyBorder="1"/>
    <xf numFmtId="1" fontId="11" fillId="0" borderId="0" xfId="0" applyNumberFormat="1" applyFont="1"/>
    <xf numFmtId="0" fontId="0" fillId="2" borderId="39" xfId="0" applyFill="1" applyBorder="1"/>
    <xf numFmtId="0" fontId="0" fillId="2" borderId="40" xfId="0" applyFill="1" applyBorder="1"/>
    <xf numFmtId="0" fontId="2" fillId="2" borderId="40" xfId="0" applyFont="1" applyFill="1" applyBorder="1"/>
    <xf numFmtId="0" fontId="0" fillId="2" borderId="41" xfId="0" applyFill="1" applyBorder="1"/>
    <xf numFmtId="0" fontId="0" fillId="2" borderId="31" xfId="0" applyFill="1" applyBorder="1"/>
    <xf numFmtId="0" fontId="0" fillId="2" borderId="37" xfId="0" applyFill="1" applyBorder="1"/>
    <xf numFmtId="0" fontId="12" fillId="0" borderId="24" xfId="0" applyFont="1" applyBorder="1"/>
    <xf numFmtId="0" fontId="0" fillId="6" borderId="73" xfId="0" applyFill="1" applyBorder="1"/>
    <xf numFmtId="0" fontId="0" fillId="6" borderId="72" xfId="0" applyFill="1" applyBorder="1"/>
    <xf numFmtId="0" fontId="0" fillId="6" borderId="61" xfId="0" applyFill="1" applyBorder="1" applyAlignment="1">
      <alignment horizontal="right"/>
    </xf>
    <xf numFmtId="0" fontId="0" fillId="6" borderId="76" xfId="0" applyFill="1" applyBorder="1" applyAlignment="1">
      <alignment horizontal="right"/>
    </xf>
    <xf numFmtId="0" fontId="0" fillId="6" borderId="9" xfId="0" applyFill="1" applyBorder="1"/>
    <xf numFmtId="0" fontId="0" fillId="6" borderId="0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164" fontId="0" fillId="6" borderId="76" xfId="0" applyNumberFormat="1" applyFill="1" applyBorder="1"/>
    <xf numFmtId="0" fontId="0" fillId="13" borderId="0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13" xfId="0" applyFill="1" applyBorder="1"/>
    <xf numFmtId="164" fontId="0" fillId="13" borderId="27" xfId="0" applyNumberFormat="1" applyFill="1" applyBorder="1"/>
    <xf numFmtId="0" fontId="0" fillId="13" borderId="39" xfId="0" applyFill="1" applyBorder="1"/>
    <xf numFmtId="0" fontId="0" fillId="13" borderId="30" xfId="0" applyFill="1" applyBorder="1"/>
    <xf numFmtId="0" fontId="0" fillId="13" borderId="52" xfId="0" applyFill="1" applyBorder="1"/>
    <xf numFmtId="0" fontId="0" fillId="13" borderId="31" xfId="0" applyFill="1" applyBorder="1"/>
    <xf numFmtId="0" fontId="0" fillId="13" borderId="33" xfId="0" applyFill="1" applyBorder="1"/>
    <xf numFmtId="0" fontId="4" fillId="0" borderId="86" xfId="0" applyFont="1" applyBorder="1" applyAlignment="1">
      <alignment horizontal="center" wrapText="1"/>
    </xf>
    <xf numFmtId="0" fontId="4" fillId="0" borderId="87" xfId="0" applyFont="1" applyBorder="1" applyAlignment="1">
      <alignment horizontal="center" wrapText="1"/>
    </xf>
    <xf numFmtId="0" fontId="20" fillId="0" borderId="86" xfId="0" applyFont="1" applyBorder="1" applyAlignment="1">
      <alignment horizontal="center" wrapText="1"/>
    </xf>
    <xf numFmtId="3" fontId="20" fillId="0" borderId="87" xfId="0" applyNumberFormat="1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164" fontId="0" fillId="9" borderId="27" xfId="0" applyNumberFormat="1" applyFill="1" applyBorder="1"/>
    <xf numFmtId="0" fontId="0" fillId="9" borderId="80" xfId="0" applyFill="1" applyBorder="1"/>
    <xf numFmtId="0" fontId="0" fillId="9" borderId="39" xfId="0" applyFill="1" applyBorder="1"/>
    <xf numFmtId="0" fontId="0" fillId="9" borderId="40" xfId="0" applyFill="1" applyBorder="1"/>
    <xf numFmtId="0" fontId="0" fillId="9" borderId="41" xfId="0" applyFill="1" applyBorder="1"/>
    <xf numFmtId="0" fontId="0" fillId="6" borderId="70" xfId="0" applyFill="1" applyBorder="1"/>
    <xf numFmtId="0" fontId="0" fillId="6" borderId="66" xfId="0" applyFill="1" applyBorder="1" applyAlignment="1">
      <alignment horizontal="left"/>
    </xf>
    <xf numFmtId="0" fontId="0" fillId="6" borderId="26" xfId="0" applyFill="1" applyBorder="1"/>
    <xf numFmtId="1" fontId="0" fillId="6" borderId="65" xfId="0" applyNumberFormat="1" applyFill="1" applyBorder="1"/>
    <xf numFmtId="164" fontId="0" fillId="9" borderId="43" xfId="0" applyNumberFormat="1" applyFill="1" applyBorder="1"/>
    <xf numFmtId="0" fontId="0" fillId="2" borderId="80" xfId="0" applyFill="1" applyBorder="1"/>
    <xf numFmtId="0" fontId="0" fillId="2" borderId="83" xfId="0" applyFill="1" applyBorder="1"/>
    <xf numFmtId="0" fontId="0" fillId="2" borderId="0" xfId="0" applyFill="1" applyBorder="1"/>
    <xf numFmtId="0" fontId="0" fillId="2" borderId="10" xfId="0" applyFill="1" applyBorder="1"/>
    <xf numFmtId="0" fontId="23" fillId="0" borderId="0" xfId="0" applyFont="1"/>
    <xf numFmtId="0" fontId="0" fillId="0" borderId="43" xfId="0" applyFill="1" applyBorder="1" applyAlignment="1">
      <alignment vertical="center"/>
    </xf>
    <xf numFmtId="164" fontId="0" fillId="3" borderId="43" xfId="0" applyNumberFormat="1" applyFill="1" applyBorder="1"/>
    <xf numFmtId="164" fontId="0" fillId="4" borderId="34" xfId="0" applyNumberFormat="1" applyFill="1" applyBorder="1"/>
    <xf numFmtId="0" fontId="0" fillId="4" borderId="83" xfId="0" applyFill="1" applyBorder="1"/>
    <xf numFmtId="164" fontId="0" fillId="4" borderId="83" xfId="0" applyNumberFormat="1" applyFill="1" applyBorder="1"/>
    <xf numFmtId="0" fontId="0" fillId="4" borderId="82" xfId="0" applyFill="1" applyBorder="1"/>
    <xf numFmtId="1" fontId="8" fillId="0" borderId="0" xfId="0" applyNumberFormat="1" applyFont="1"/>
    <xf numFmtId="0" fontId="0" fillId="2" borderId="1" xfId="0" applyFill="1" applyBorder="1"/>
    <xf numFmtId="0" fontId="0" fillId="2" borderId="63" xfId="0" applyFill="1" applyBorder="1"/>
    <xf numFmtId="0" fontId="3" fillId="4" borderId="9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0" fillId="0" borderId="43" xfId="0" applyFill="1" applyBorder="1"/>
    <xf numFmtId="0" fontId="0" fillId="0" borderId="61" xfId="0" applyFill="1" applyBorder="1"/>
    <xf numFmtId="0" fontId="4" fillId="0" borderId="0" xfId="0" applyFont="1" applyFill="1" applyBorder="1" applyAlignment="1">
      <alignment horizontal="left"/>
    </xf>
    <xf numFmtId="0" fontId="0" fillId="13" borderId="41" xfId="0" applyFill="1" applyBorder="1" applyAlignment="1">
      <alignment vertical="top"/>
    </xf>
    <xf numFmtId="0" fontId="0" fillId="13" borderId="31" xfId="0" applyFill="1" applyBorder="1" applyAlignment="1">
      <alignment vertical="top"/>
    </xf>
    <xf numFmtId="0" fontId="0" fillId="13" borderId="37" xfId="0" applyFill="1" applyBorder="1" applyAlignment="1">
      <alignment vertical="top"/>
    </xf>
    <xf numFmtId="1" fontId="0" fillId="13" borderId="40" xfId="0" applyNumberFormat="1" applyFill="1" applyBorder="1" applyAlignment="1">
      <alignment vertical="top"/>
    </xf>
    <xf numFmtId="1" fontId="0" fillId="13" borderId="27" xfId="0" applyNumberFormat="1" applyFill="1" applyBorder="1" applyAlignment="1">
      <alignment vertical="center"/>
    </xf>
    <xf numFmtId="164" fontId="0" fillId="13" borderId="34" xfId="0" applyNumberFormat="1" applyFill="1" applyBorder="1" applyAlignment="1">
      <alignment horizontal="right" vertical="top"/>
    </xf>
    <xf numFmtId="0" fontId="0" fillId="12" borderId="1" xfId="0" applyFill="1" applyBorder="1"/>
    <xf numFmtId="0" fontId="0" fillId="12" borderId="27" xfId="0" applyFill="1" applyBorder="1"/>
    <xf numFmtId="165" fontId="0" fillId="12" borderId="27" xfId="0" applyNumberFormat="1" applyFill="1" applyBorder="1"/>
    <xf numFmtId="2" fontId="0" fillId="12" borderId="27" xfId="0" applyNumberFormat="1" applyFill="1" applyBorder="1"/>
    <xf numFmtId="1" fontId="0" fillId="12" borderId="27" xfId="0" applyNumberFormat="1" applyFill="1" applyBorder="1"/>
    <xf numFmtId="0" fontId="2" fillId="12" borderId="27" xfId="0" applyFont="1" applyFill="1" applyBorder="1"/>
    <xf numFmtId="0" fontId="0" fillId="12" borderId="4" xfId="0" applyFill="1" applyBorder="1"/>
    <xf numFmtId="0" fontId="0" fillId="0" borderId="27" xfId="0" applyFill="1" applyBorder="1" applyAlignment="1">
      <alignment horizontal="right"/>
    </xf>
    <xf numFmtId="0" fontId="13" fillId="12" borderId="27" xfId="0" applyFont="1" applyFill="1" applyBorder="1"/>
    <xf numFmtId="164" fontId="0" fillId="0" borderId="27" xfId="0" applyNumberFormat="1" applyBorder="1"/>
    <xf numFmtId="164" fontId="0" fillId="12" borderId="27" xfId="0" applyNumberFormat="1" applyFill="1" applyBorder="1"/>
    <xf numFmtId="164" fontId="0" fillId="0" borderId="27" xfId="0" applyNumberFormat="1" applyFill="1" applyBorder="1"/>
    <xf numFmtId="0" fontId="0" fillId="0" borderId="0" xfId="0" applyAlignment="1">
      <alignment vertical="center"/>
    </xf>
    <xf numFmtId="0" fontId="0" fillId="15" borderId="27" xfId="0" applyFill="1" applyBorder="1" applyAlignment="1">
      <alignment horizontal="center"/>
    </xf>
    <xf numFmtId="164" fontId="0" fillId="16" borderId="27" xfId="0" applyNumberFormat="1" applyFill="1" applyBorder="1" applyAlignment="1">
      <alignment horizontal="right" indent="1"/>
    </xf>
    <xf numFmtId="1" fontId="0" fillId="16" borderId="27" xfId="0" applyNumberFormat="1" applyFill="1" applyBorder="1" applyAlignment="1">
      <alignment horizontal="right" indent="1"/>
    </xf>
    <xf numFmtId="0" fontId="2" fillId="12" borderId="27" xfId="0" applyNumberFormat="1" applyFont="1" applyFill="1" applyBorder="1"/>
    <xf numFmtId="0" fontId="0" fillId="12" borderId="27" xfId="0" applyNumberFormat="1" applyFill="1" applyBorder="1"/>
    <xf numFmtId="167" fontId="0" fillId="12" borderId="27" xfId="0" applyNumberFormat="1" applyFill="1" applyBorder="1"/>
    <xf numFmtId="0" fontId="0" fillId="13" borderId="24" xfId="0" applyFill="1" applyBorder="1"/>
    <xf numFmtId="2" fontId="0" fillId="13" borderId="25" xfId="0" applyNumberFormat="1" applyFill="1" applyBorder="1"/>
    <xf numFmtId="0" fontId="0" fillId="13" borderId="26" xfId="0" applyFill="1" applyBorder="1"/>
    <xf numFmtId="0" fontId="0" fillId="13" borderId="40" xfId="0" applyFill="1" applyBorder="1"/>
    <xf numFmtId="0" fontId="0" fillId="13" borderId="41" xfId="0" applyFill="1" applyBorder="1"/>
    <xf numFmtId="2" fontId="0" fillId="13" borderId="0" xfId="0" applyNumberFormat="1" applyFill="1" applyBorder="1"/>
    <xf numFmtId="1" fontId="0" fillId="13" borderId="0" xfId="0" applyNumberFormat="1" applyFill="1" applyBorder="1"/>
    <xf numFmtId="0" fontId="0" fillId="13" borderId="10" xfId="0" applyFill="1" applyBorder="1" applyAlignment="1">
      <alignment vertical="top"/>
    </xf>
    <xf numFmtId="0" fontId="2" fillId="0" borderId="0" xfId="0" applyFont="1" applyFill="1" applyBorder="1"/>
    <xf numFmtId="165" fontId="0" fillId="0" borderId="59" xfId="0" applyNumberFormat="1" applyFill="1" applyBorder="1"/>
    <xf numFmtId="165" fontId="0" fillId="0" borderId="81" xfId="0" applyNumberFormat="1" applyFill="1" applyBorder="1"/>
    <xf numFmtId="0" fontId="0" fillId="6" borderId="60" xfId="0" applyFill="1" applyBorder="1"/>
    <xf numFmtId="0" fontId="0" fillId="7" borderId="12" xfId="0" applyFill="1" applyBorder="1"/>
    <xf numFmtId="9" fontId="21" fillId="10" borderId="34" xfId="0" applyNumberFormat="1" applyFont="1" applyFill="1" applyBorder="1"/>
    <xf numFmtId="9" fontId="19" fillId="0" borderId="27" xfId="0" applyNumberFormat="1" applyFont="1" applyFill="1" applyBorder="1"/>
    <xf numFmtId="0" fontId="0" fillId="9" borderId="3" xfId="0" applyFill="1" applyBorder="1"/>
    <xf numFmtId="0" fontId="0" fillId="9" borderId="51" xfId="0" applyFill="1" applyBorder="1"/>
    <xf numFmtId="2" fontId="0" fillId="0" borderId="38" xfId="0" applyNumberFormat="1" applyFill="1" applyBorder="1"/>
    <xf numFmtId="0" fontId="0" fillId="9" borderId="31" xfId="0" applyFill="1" applyBorder="1" applyAlignment="1">
      <alignment horizontal="center"/>
    </xf>
    <xf numFmtId="0" fontId="0" fillId="9" borderId="30" xfId="0" applyFont="1" applyFill="1" applyBorder="1" applyAlignment="1">
      <alignment horizontal="left" vertical="center"/>
    </xf>
    <xf numFmtId="0" fontId="0" fillId="9" borderId="31" xfId="0" applyFont="1" applyFill="1" applyBorder="1" applyAlignment="1">
      <alignment horizontal="center" vertical="center"/>
    </xf>
    <xf numFmtId="2" fontId="0" fillId="4" borderId="36" xfId="0" applyNumberFormat="1" applyFill="1" applyBorder="1"/>
    <xf numFmtId="0" fontId="14" fillId="3" borderId="40" xfId="1" applyFill="1" applyBorder="1" applyAlignment="1" applyProtection="1"/>
    <xf numFmtId="0" fontId="0" fillId="3" borderId="27" xfId="0" applyNumberFormat="1" applyFill="1" applyBorder="1"/>
    <xf numFmtId="165" fontId="0" fillId="6" borderId="38" xfId="0" applyNumberFormat="1" applyFill="1" applyBorder="1"/>
    <xf numFmtId="0" fontId="3" fillId="3" borderId="39" xfId="0" applyFont="1" applyFill="1" applyBorder="1"/>
    <xf numFmtId="0" fontId="0" fillId="9" borderId="7" xfId="0" applyFill="1" applyBorder="1" applyAlignment="1">
      <alignment horizontal="center"/>
    </xf>
    <xf numFmtId="0" fontId="0" fillId="9" borderId="50" xfId="0" applyFill="1" applyBorder="1"/>
    <xf numFmtId="164" fontId="0" fillId="0" borderId="100" xfId="0" applyNumberFormat="1" applyFill="1" applyBorder="1"/>
    <xf numFmtId="0" fontId="0" fillId="0" borderId="4" xfId="0" applyFill="1" applyBorder="1"/>
    <xf numFmtId="2" fontId="0" fillId="6" borderId="33" xfId="0" applyNumberFormat="1" applyFill="1" applyBorder="1"/>
    <xf numFmtId="2" fontId="0" fillId="4" borderId="37" xfId="0" applyNumberFormat="1" applyFill="1" applyBorder="1"/>
    <xf numFmtId="2" fontId="0" fillId="6" borderId="34" xfId="0" applyNumberFormat="1" applyFill="1" applyBorder="1"/>
    <xf numFmtId="2" fontId="0" fillId="3" borderId="12" xfId="0" applyNumberFormat="1" applyFill="1" applyBorder="1"/>
    <xf numFmtId="0" fontId="0" fillId="9" borderId="59" xfId="0" applyFill="1" applyBorder="1"/>
    <xf numFmtId="0" fontId="0" fillId="9" borderId="34" xfId="0" applyFont="1" applyFill="1" applyBorder="1" applyAlignment="1">
      <alignment horizontal="center" vertical="center"/>
    </xf>
    <xf numFmtId="165" fontId="0" fillId="9" borderId="34" xfId="0" applyNumberFormat="1" applyFill="1" applyBorder="1"/>
    <xf numFmtId="0" fontId="0" fillId="9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/>
    <xf numFmtId="0" fontId="11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164" fontId="0" fillId="0" borderId="0" xfId="0" applyNumberFormat="1" applyFill="1" applyBorder="1" applyAlignment="1">
      <alignment horizontal="right" indent="1"/>
    </xf>
    <xf numFmtId="1" fontId="0" fillId="0" borderId="0" xfId="0" applyNumberFormat="1" applyFill="1" applyBorder="1" applyAlignment="1">
      <alignment horizontal="right" indent="1"/>
    </xf>
    <xf numFmtId="2" fontId="0" fillId="0" borderId="0" xfId="0" applyNumberFormat="1" applyFill="1" applyBorder="1" applyAlignment="1">
      <alignment horizontal="right" indent="1"/>
    </xf>
    <xf numFmtId="1" fontId="0" fillId="4" borderId="43" xfId="0" applyNumberFormat="1" applyFill="1" applyBorder="1"/>
    <xf numFmtId="0" fontId="3" fillId="9" borderId="67" xfId="0" applyFont="1" applyFill="1" applyBorder="1" applyAlignment="1">
      <alignment horizontal="left"/>
    </xf>
    <xf numFmtId="0" fontId="3" fillId="9" borderId="68" xfId="0" applyFont="1" applyFill="1" applyBorder="1" applyAlignment="1">
      <alignment horizontal="left"/>
    </xf>
    <xf numFmtId="0" fontId="3" fillId="9" borderId="69" xfId="0" applyFont="1" applyFill="1" applyBorder="1" applyAlignment="1">
      <alignment horizontal="left"/>
    </xf>
    <xf numFmtId="2" fontId="0" fillId="0" borderId="76" xfId="0" applyNumberFormat="1" applyFill="1" applyBorder="1"/>
    <xf numFmtId="0" fontId="27" fillId="0" borderId="0" xfId="0" applyFont="1"/>
    <xf numFmtId="0" fontId="0" fillId="4" borderId="27" xfId="0" applyNumberFormat="1" applyFill="1" applyBorder="1"/>
    <xf numFmtId="0" fontId="28" fillId="6" borderId="39" xfId="0" applyFont="1" applyFill="1" applyBorder="1"/>
    <xf numFmtId="0" fontId="28" fillId="6" borderId="40" xfId="0" applyFont="1" applyFill="1" applyBorder="1" applyAlignment="1">
      <alignment wrapText="1"/>
    </xf>
    <xf numFmtId="0" fontId="28" fillId="6" borderId="41" xfId="0" applyFont="1" applyFill="1" applyBorder="1" applyAlignment="1">
      <alignment wrapText="1"/>
    </xf>
    <xf numFmtId="0" fontId="3" fillId="6" borderId="30" xfId="0" applyFont="1" applyFill="1" applyBorder="1"/>
    <xf numFmtId="2" fontId="3" fillId="0" borderId="27" xfId="0" applyNumberFormat="1" applyFont="1" applyBorder="1"/>
    <xf numFmtId="0" fontId="3" fillId="0" borderId="27" xfId="0" applyFont="1" applyBorder="1"/>
    <xf numFmtId="1" fontId="3" fillId="0" borderId="31" xfId="0" applyNumberFormat="1" applyFont="1" applyBorder="1"/>
    <xf numFmtId="1" fontId="3" fillId="0" borderId="27" xfId="0" applyNumberFormat="1" applyFont="1" applyBorder="1"/>
    <xf numFmtId="0" fontId="3" fillId="6" borderId="30" xfId="0" applyFont="1" applyFill="1" applyBorder="1" applyAlignment="1">
      <alignment horizontal="right"/>
    </xf>
    <xf numFmtId="0" fontId="3" fillId="6" borderId="33" xfId="0" applyFont="1" applyFill="1" applyBorder="1"/>
    <xf numFmtId="0" fontId="3" fillId="0" borderId="34" xfId="0" applyFont="1" applyBorder="1"/>
    <xf numFmtId="165" fontId="3" fillId="0" borderId="34" xfId="0" applyNumberFormat="1" applyFont="1" applyBorder="1"/>
    <xf numFmtId="2" fontId="3" fillId="0" borderId="34" xfId="0" applyNumberFormat="1" applyFont="1" applyBorder="1"/>
    <xf numFmtId="1" fontId="3" fillId="0" borderId="37" xfId="0" applyNumberFormat="1" applyFont="1" applyBorder="1"/>
    <xf numFmtId="0" fontId="0" fillId="10" borderId="26" xfId="0" applyFill="1" applyBorder="1"/>
    <xf numFmtId="0" fontId="26" fillId="10" borderId="24" xfId="0" applyFont="1" applyFill="1" applyBorder="1" applyAlignment="1"/>
    <xf numFmtId="0" fontId="26" fillId="10" borderId="25" xfId="0" applyFont="1" applyFill="1" applyBorder="1" applyAlignment="1"/>
    <xf numFmtId="0" fontId="24" fillId="10" borderId="9" xfId="0" applyFont="1" applyFill="1" applyBorder="1"/>
    <xf numFmtId="0" fontId="24" fillId="10" borderId="0" xfId="0" applyFont="1" applyFill="1" applyBorder="1"/>
    <xf numFmtId="0" fontId="24" fillId="10" borderId="3" xfId="0" applyFont="1" applyFill="1" applyBorder="1"/>
    <xf numFmtId="0" fontId="24" fillId="10" borderId="36" xfId="0" applyFont="1" applyFill="1" applyBorder="1"/>
    <xf numFmtId="0" fontId="24" fillId="10" borderId="73" xfId="0" applyFont="1" applyFill="1" applyBorder="1"/>
    <xf numFmtId="0" fontId="24" fillId="10" borderId="72" xfId="0" applyFont="1" applyFill="1" applyBorder="1"/>
    <xf numFmtId="0" fontId="24" fillId="10" borderId="61" xfId="0" applyFont="1" applyFill="1" applyBorder="1"/>
    <xf numFmtId="1" fontId="24" fillId="10" borderId="38" xfId="0" applyNumberFormat="1" applyFont="1" applyFill="1" applyBorder="1"/>
    <xf numFmtId="0" fontId="24" fillId="10" borderId="27" xfId="0" applyFont="1" applyFill="1" applyBorder="1"/>
    <xf numFmtId="0" fontId="24" fillId="10" borderId="71" xfId="0" applyFont="1" applyFill="1" applyBorder="1"/>
    <xf numFmtId="0" fontId="24" fillId="10" borderId="5" xfId="0" applyFont="1" applyFill="1" applyBorder="1"/>
    <xf numFmtId="0" fontId="24" fillId="10" borderId="38" xfId="0" applyFont="1" applyFill="1" applyBorder="1"/>
    <xf numFmtId="0" fontId="24" fillId="10" borderId="62" xfId="0" applyFont="1" applyFill="1" applyBorder="1"/>
    <xf numFmtId="0" fontId="24" fillId="10" borderId="1" xfId="0" applyFont="1" applyFill="1" applyBorder="1"/>
    <xf numFmtId="0" fontId="24" fillId="10" borderId="49" xfId="0" applyFont="1" applyFill="1" applyBorder="1"/>
    <xf numFmtId="1" fontId="24" fillId="10" borderId="27" xfId="0" applyNumberFormat="1" applyFont="1" applyFill="1" applyBorder="1"/>
    <xf numFmtId="164" fontId="24" fillId="10" borderId="27" xfId="0" applyNumberFormat="1" applyFont="1" applyFill="1" applyBorder="1"/>
    <xf numFmtId="0" fontId="24" fillId="10" borderId="11" xfId="0" applyFont="1" applyFill="1" applyBorder="1"/>
    <xf numFmtId="0" fontId="24" fillId="10" borderId="12" xfId="0" applyFont="1" applyFill="1" applyBorder="1"/>
    <xf numFmtId="0" fontId="24" fillId="10" borderId="34" xfId="0" applyFont="1" applyFill="1" applyBorder="1"/>
    <xf numFmtId="1" fontId="24" fillId="10" borderId="36" xfId="0" applyNumberFormat="1" applyFont="1" applyFill="1" applyBorder="1"/>
    <xf numFmtId="0" fontId="24" fillId="10" borderId="45" xfId="0" applyFont="1" applyFill="1" applyBorder="1"/>
    <xf numFmtId="0" fontId="24" fillId="10" borderId="31" xfId="0" applyFont="1" applyFill="1" applyBorder="1"/>
    <xf numFmtId="0" fontId="24" fillId="10" borderId="37" xfId="0" applyFont="1" applyFill="1" applyBorder="1"/>
    <xf numFmtId="0" fontId="24" fillId="10" borderId="65" xfId="0" applyFont="1" applyFill="1" applyBorder="1"/>
    <xf numFmtId="0" fontId="24" fillId="10" borderId="65" xfId="0" applyFont="1" applyFill="1" applyBorder="1" applyAlignment="1">
      <alignment horizontal="center"/>
    </xf>
    <xf numFmtId="1" fontId="0" fillId="9" borderId="27" xfId="0" applyNumberFormat="1" applyFill="1" applyBorder="1"/>
    <xf numFmtId="9" fontId="0" fillId="3" borderId="27" xfId="0" applyNumberFormat="1" applyFill="1" applyBorder="1"/>
    <xf numFmtId="0" fontId="24" fillId="10" borderId="6" xfId="0" applyFont="1" applyFill="1" applyBorder="1"/>
    <xf numFmtId="0" fontId="24" fillId="10" borderId="7" xfId="0" applyFont="1" applyFill="1" applyBorder="1"/>
    <xf numFmtId="0" fontId="24" fillId="10" borderId="28" xfId="0" applyFont="1" applyFill="1" applyBorder="1"/>
    <xf numFmtId="1" fontId="24" fillId="10" borderId="28" xfId="0" applyNumberFormat="1" applyFont="1" applyFill="1" applyBorder="1"/>
    <xf numFmtId="0" fontId="24" fillId="10" borderId="40" xfId="0" applyFont="1" applyFill="1" applyBorder="1"/>
    <xf numFmtId="9" fontId="19" fillId="0" borderId="40" xfId="0" applyNumberFormat="1" applyFont="1" applyFill="1" applyBorder="1"/>
    <xf numFmtId="1" fontId="24" fillId="10" borderId="40" xfId="0" applyNumberFormat="1" applyFont="1" applyFill="1" applyBorder="1"/>
    <xf numFmtId="0" fontId="24" fillId="10" borderId="41" xfId="0" applyFont="1" applyFill="1" applyBorder="1"/>
    <xf numFmtId="9" fontId="24" fillId="10" borderId="36" xfId="0" applyNumberFormat="1" applyFont="1" applyFill="1" applyBorder="1"/>
    <xf numFmtId="0" fontId="24" fillId="10" borderId="101" xfId="0" applyFont="1" applyFill="1" applyBorder="1"/>
    <xf numFmtId="0" fontId="24" fillId="10" borderId="102" xfId="0" applyFont="1" applyFill="1" applyBorder="1"/>
    <xf numFmtId="0" fontId="24" fillId="10" borderId="103" xfId="0" applyFont="1" applyFill="1" applyBorder="1"/>
    <xf numFmtId="164" fontId="24" fillId="10" borderId="104" xfId="0" applyNumberFormat="1" applyFont="1" applyFill="1" applyBorder="1"/>
    <xf numFmtId="0" fontId="24" fillId="10" borderId="104" xfId="0" applyFont="1" applyFill="1" applyBorder="1"/>
    <xf numFmtId="9" fontId="19" fillId="0" borderId="104" xfId="0" applyNumberFormat="1" applyFont="1" applyFill="1" applyBorder="1"/>
    <xf numFmtId="0" fontId="24" fillId="10" borderId="105" xfId="0" applyFont="1" applyFill="1" applyBorder="1"/>
    <xf numFmtId="0" fontId="0" fillId="9" borderId="106" xfId="0" applyFill="1" applyBorder="1"/>
    <xf numFmtId="0" fontId="0" fillId="9" borderId="107" xfId="0" applyFill="1" applyBorder="1"/>
    <xf numFmtId="0" fontId="0" fillId="0" borderId="107" xfId="0" applyFill="1" applyBorder="1"/>
    <xf numFmtId="0" fontId="0" fillId="9" borderId="105" xfId="0" applyFill="1" applyBorder="1"/>
    <xf numFmtId="1" fontId="0" fillId="0" borderId="100" xfId="0" applyNumberFormat="1" applyFill="1" applyBorder="1"/>
    <xf numFmtId="1" fontId="0" fillId="0" borderId="59" xfId="0" applyNumberFormat="1" applyFill="1" applyBorder="1"/>
    <xf numFmtId="1" fontId="0" fillId="13" borderId="43" xfId="0" applyNumberFormat="1" applyFill="1" applyBorder="1"/>
    <xf numFmtId="0" fontId="0" fillId="13" borderId="44" xfId="0" applyFill="1" applyBorder="1"/>
    <xf numFmtId="0" fontId="0" fillId="13" borderId="6" xfId="0" applyFill="1" applyBorder="1"/>
    <xf numFmtId="0" fontId="0" fillId="13" borderId="8" xfId="0" applyFill="1" applyBorder="1"/>
    <xf numFmtId="0" fontId="0" fillId="13" borderId="11" xfId="0" applyFill="1" applyBorder="1"/>
    <xf numFmtId="2" fontId="0" fillId="13" borderId="12" xfId="0" applyNumberFormat="1" applyFill="1" applyBorder="1"/>
    <xf numFmtId="0" fontId="0" fillId="13" borderId="12" xfId="0" applyFill="1" applyBorder="1"/>
    <xf numFmtId="2" fontId="0" fillId="13" borderId="7" xfId="0" applyNumberFormat="1" applyFill="1" applyBorder="1"/>
    <xf numFmtId="0" fontId="11" fillId="0" borderId="0" xfId="0" applyFont="1" applyBorder="1" applyAlignment="1">
      <alignment vertical="center"/>
    </xf>
    <xf numFmtId="1" fontId="24" fillId="10" borderId="34" xfId="0" applyNumberFormat="1" applyFont="1" applyFill="1" applyBorder="1"/>
    <xf numFmtId="1" fontId="0" fillId="3" borderId="0" xfId="0" applyNumberFormat="1" applyFill="1" applyBorder="1"/>
    <xf numFmtId="1" fontId="0" fillId="0" borderId="43" xfId="0" applyNumberFormat="1" applyFill="1" applyBorder="1"/>
    <xf numFmtId="2" fontId="0" fillId="17" borderId="27" xfId="0" applyNumberFormat="1" applyFill="1" applyBorder="1"/>
    <xf numFmtId="168" fontId="0" fillId="12" borderId="27" xfId="0" applyNumberFormat="1" applyFill="1" applyBorder="1"/>
    <xf numFmtId="168" fontId="0" fillId="0" borderId="0" xfId="0" applyNumberFormat="1"/>
    <xf numFmtId="0" fontId="0" fillId="12" borderId="39" xfId="0" applyFill="1" applyBorder="1"/>
    <xf numFmtId="0" fontId="0" fillId="12" borderId="40" xfId="0" applyFill="1" applyBorder="1"/>
    <xf numFmtId="1" fontId="0" fillId="12" borderId="40" xfId="0" applyNumberFormat="1" applyFill="1" applyBorder="1"/>
    <xf numFmtId="0" fontId="0" fillId="12" borderId="41" xfId="0" applyFill="1" applyBorder="1"/>
    <xf numFmtId="0" fontId="0" fillId="12" borderId="30" xfId="0" applyFill="1" applyBorder="1"/>
    <xf numFmtId="0" fontId="0" fillId="12" borderId="31" xfId="0" applyFill="1" applyBorder="1"/>
    <xf numFmtId="0" fontId="0" fillId="15" borderId="30" xfId="0" applyFill="1" applyBorder="1"/>
    <xf numFmtId="0" fontId="0" fillId="15" borderId="31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164" fontId="0" fillId="16" borderId="34" xfId="0" applyNumberFormat="1" applyFill="1" applyBorder="1" applyAlignment="1">
      <alignment horizontal="right" indent="1"/>
    </xf>
    <xf numFmtId="1" fontId="0" fillId="16" borderId="34" xfId="0" applyNumberFormat="1" applyFill="1" applyBorder="1" applyAlignment="1">
      <alignment horizontal="right" indent="1"/>
    </xf>
    <xf numFmtId="0" fontId="11" fillId="12" borderId="6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62" xfId="0" applyFill="1" applyBorder="1"/>
    <xf numFmtId="0" fontId="0" fillId="12" borderId="63" xfId="0" applyFill="1" applyBorder="1"/>
    <xf numFmtId="0" fontId="3" fillId="12" borderId="30" xfId="0" applyFont="1" applyFill="1" applyBorder="1"/>
    <xf numFmtId="0" fontId="0" fillId="12" borderId="33" xfId="0" applyFill="1" applyBorder="1"/>
    <xf numFmtId="0" fontId="0" fillId="12" borderId="34" xfId="0" applyFill="1" applyBorder="1"/>
    <xf numFmtId="168" fontId="0" fillId="12" borderId="34" xfId="0" applyNumberFormat="1" applyFill="1" applyBorder="1"/>
    <xf numFmtId="0" fontId="0" fillId="12" borderId="37" xfId="0" applyFill="1" applyBorder="1"/>
    <xf numFmtId="164" fontId="0" fillId="16" borderId="31" xfId="0" applyNumberFormat="1" applyFill="1" applyBorder="1" applyAlignment="1">
      <alignment horizontal="right" indent="1"/>
    </xf>
    <xf numFmtId="164" fontId="0" fillId="16" borderId="37" xfId="0" applyNumberFormat="1" applyFill="1" applyBorder="1" applyAlignment="1">
      <alignment horizontal="right" indent="1"/>
    </xf>
    <xf numFmtId="0" fontId="0" fillId="2" borderId="33" xfId="0" applyFont="1" applyFill="1" applyBorder="1"/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32" fillId="3" borderId="86" xfId="0" applyFont="1" applyFill="1" applyBorder="1" applyAlignment="1">
      <alignment horizontal="center" wrapText="1"/>
    </xf>
    <xf numFmtId="0" fontId="32" fillId="3" borderId="87" xfId="0" applyFont="1" applyFill="1" applyBorder="1" applyAlignment="1">
      <alignment horizontal="center" wrapText="1"/>
    </xf>
    <xf numFmtId="0" fontId="3" fillId="3" borderId="85" xfId="1" applyFont="1" applyFill="1" applyBorder="1" applyAlignment="1" applyProtection="1">
      <alignment horizontal="center" wrapText="1"/>
    </xf>
    <xf numFmtId="0" fontId="3" fillId="3" borderId="46" xfId="0" applyFont="1" applyFill="1" applyBorder="1"/>
    <xf numFmtId="0" fontId="3" fillId="3" borderId="47" xfId="0" applyFont="1" applyFill="1" applyBorder="1"/>
    <xf numFmtId="164" fontId="0" fillId="0" borderId="47" xfId="0" applyNumberFormat="1" applyBorder="1"/>
    <xf numFmtId="0" fontId="22" fillId="0" borderId="11" xfId="0" applyFont="1" applyBorder="1" applyAlignment="1">
      <alignment horizontal="left" wrapText="1" indent="1"/>
    </xf>
    <xf numFmtId="0" fontId="31" fillId="0" borderId="8" xfId="0" applyFont="1" applyBorder="1"/>
    <xf numFmtId="0" fontId="31" fillId="0" borderId="10" xfId="0" applyFont="1" applyBorder="1"/>
    <xf numFmtId="0" fontId="31" fillId="0" borderId="9" xfId="0" applyFont="1" applyBorder="1" applyAlignment="1">
      <alignment horizontal="left" wrapText="1" indent="1"/>
    </xf>
    <xf numFmtId="0" fontId="31" fillId="0" borderId="0" xfId="0" applyFont="1" applyBorder="1"/>
    <xf numFmtId="0" fontId="33" fillId="8" borderId="108" xfId="1" applyFont="1" applyFill="1" applyBorder="1" applyAlignment="1" applyProtection="1">
      <alignment horizontal="center" vertical="center" wrapText="1"/>
    </xf>
    <xf numFmtId="0" fontId="33" fillId="8" borderId="109" xfId="1" applyFont="1" applyFill="1" applyBorder="1" applyAlignment="1" applyProtection="1">
      <alignment horizontal="center" vertical="center" wrapText="1"/>
    </xf>
    <xf numFmtId="0" fontId="34" fillId="8" borderId="110" xfId="0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 wrapText="1"/>
    </xf>
    <xf numFmtId="0" fontId="34" fillId="8" borderId="111" xfId="0" applyFont="1" applyFill="1" applyBorder="1" applyAlignment="1">
      <alignment horizontal="center" vertical="center" wrapText="1"/>
    </xf>
    <xf numFmtId="0" fontId="34" fillId="8" borderId="109" xfId="0" applyFont="1" applyFill="1" applyBorder="1" applyAlignment="1">
      <alignment horizontal="center" vertical="center" wrapText="1"/>
    </xf>
    <xf numFmtId="0" fontId="33" fillId="8" borderId="112" xfId="1" applyFont="1" applyFill="1" applyBorder="1" applyAlignment="1" applyProtection="1">
      <alignment horizontal="center" vertical="center" wrapText="1"/>
    </xf>
    <xf numFmtId="0" fontId="33" fillId="8" borderId="91" xfId="1" applyFont="1" applyFill="1" applyBorder="1" applyAlignment="1" applyProtection="1">
      <alignment horizontal="center" vertical="center" wrapText="1"/>
    </xf>
    <xf numFmtId="0" fontId="34" fillId="8" borderId="91" xfId="0" applyFont="1" applyFill="1" applyBorder="1" applyAlignment="1">
      <alignment horizontal="center" vertical="center" wrapText="1"/>
    </xf>
    <xf numFmtId="0" fontId="34" fillId="8" borderId="93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94" xfId="0" applyFont="1" applyFill="1" applyBorder="1" applyAlignment="1">
      <alignment horizontal="center" vertical="center" wrapText="1"/>
    </xf>
    <xf numFmtId="0" fontId="35" fillId="8" borderId="91" xfId="0" applyFont="1" applyFill="1" applyBorder="1" applyAlignment="1">
      <alignment horizontal="center" vertical="center" wrapText="1"/>
    </xf>
    <xf numFmtId="0" fontId="35" fillId="8" borderId="112" xfId="0" applyFont="1" applyFill="1" applyBorder="1" applyAlignment="1">
      <alignment horizontal="center" vertical="center" wrapText="1"/>
    </xf>
    <xf numFmtId="0" fontId="34" fillId="8" borderId="95" xfId="0" applyFont="1" applyFill="1" applyBorder="1" applyAlignment="1">
      <alignment horizontal="center" vertical="center" wrapText="1"/>
    </xf>
    <xf numFmtId="0" fontId="34" fillId="8" borderId="96" xfId="0" applyFont="1" applyFill="1" applyBorder="1" applyAlignment="1">
      <alignment horizontal="center" vertical="center" wrapText="1"/>
    </xf>
    <xf numFmtId="0" fontId="34" fillId="8" borderId="97" xfId="0" applyFont="1" applyFill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35" fillId="8" borderId="113" xfId="0" applyFont="1" applyFill="1" applyBorder="1" applyAlignment="1">
      <alignment horizontal="center" vertical="center" wrapText="1"/>
    </xf>
    <xf numFmtId="0" fontId="35" fillId="8" borderId="92" xfId="0" applyFont="1" applyFill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114" xfId="0" applyFont="1" applyFill="1" applyBorder="1" applyAlignment="1">
      <alignment horizontal="center" vertical="center" wrapText="1"/>
    </xf>
    <xf numFmtId="0" fontId="38" fillId="0" borderId="86" xfId="0" applyFont="1" applyBorder="1" applyAlignment="1">
      <alignment horizontal="center" wrapText="1"/>
    </xf>
    <xf numFmtId="0" fontId="38" fillId="0" borderId="98" xfId="0" applyFont="1" applyBorder="1" applyAlignment="1">
      <alignment horizontal="center" wrapText="1"/>
    </xf>
    <xf numFmtId="3" fontId="38" fillId="0" borderId="56" xfId="0" applyNumberFormat="1" applyFont="1" applyBorder="1" applyAlignment="1">
      <alignment horizontal="center" wrapText="1"/>
    </xf>
    <xf numFmtId="0" fontId="34" fillId="14" borderId="86" xfId="0" applyFont="1" applyFill="1" applyBorder="1" applyAlignment="1">
      <alignment horizontal="center" wrapText="1"/>
    </xf>
    <xf numFmtId="0" fontId="38" fillId="14" borderId="98" xfId="0" applyFont="1" applyFill="1" applyBorder="1" applyAlignment="1">
      <alignment horizontal="center" wrapText="1"/>
    </xf>
    <xf numFmtId="3" fontId="38" fillId="14" borderId="56" xfId="0" applyNumberFormat="1" applyFont="1" applyFill="1" applyBorder="1" applyAlignment="1">
      <alignment horizontal="center" wrapText="1"/>
    </xf>
    <xf numFmtId="3" fontId="38" fillId="0" borderId="98" xfId="0" applyNumberFormat="1" applyFont="1" applyBorder="1" applyAlignment="1">
      <alignment horizontal="center" wrapText="1"/>
    </xf>
    <xf numFmtId="0" fontId="38" fillId="0" borderId="115" xfId="0" applyFont="1" applyBorder="1" applyAlignment="1">
      <alignment horizontal="center" wrapText="1"/>
    </xf>
    <xf numFmtId="0" fontId="38" fillId="0" borderId="99" xfId="0" applyFont="1" applyBorder="1" applyAlignment="1">
      <alignment horizontal="center" wrapText="1"/>
    </xf>
    <xf numFmtId="3" fontId="38" fillId="0" borderId="58" xfId="0" applyNumberFormat="1" applyFont="1" applyBorder="1" applyAlignment="1">
      <alignment horizontal="center" wrapText="1"/>
    </xf>
    <xf numFmtId="1" fontId="19" fillId="0" borderId="27" xfId="0" applyNumberFormat="1" applyFont="1" applyFill="1" applyBorder="1"/>
    <xf numFmtId="0" fontId="0" fillId="18" borderId="7" xfId="0" applyFill="1" applyBorder="1"/>
    <xf numFmtId="0" fontId="0" fillId="18" borderId="8" xfId="0" applyFill="1" applyBorder="1"/>
    <xf numFmtId="0" fontId="24" fillId="18" borderId="6" xfId="0" applyFont="1" applyFill="1" applyBorder="1"/>
    <xf numFmtId="0" fontId="24" fillId="10" borderId="30" xfId="0" applyFont="1" applyFill="1" applyBorder="1"/>
    <xf numFmtId="0" fontId="24" fillId="10" borderId="33" xfId="0" applyFont="1" applyFill="1" applyBorder="1"/>
    <xf numFmtId="1" fontId="0" fillId="13" borderId="34" xfId="0" applyNumberFormat="1" applyFill="1" applyBorder="1"/>
    <xf numFmtId="0" fontId="0" fillId="13" borderId="37" xfId="0" applyFill="1" applyBorder="1"/>
    <xf numFmtId="0" fontId="11" fillId="0" borderId="0" xfId="0" applyFont="1" applyBorder="1" applyAlignment="1"/>
    <xf numFmtId="0" fontId="0" fillId="13" borderId="0" xfId="0" applyFill="1"/>
    <xf numFmtId="0" fontId="11" fillId="0" borderId="0" xfId="0" applyFont="1" applyFill="1" applyBorder="1" applyAlignment="1">
      <alignment horizontal="center"/>
    </xf>
    <xf numFmtId="0" fontId="0" fillId="3" borderId="80" xfId="0" applyFont="1" applyFill="1" applyBorder="1"/>
    <xf numFmtId="0" fontId="0" fillId="3" borderId="45" xfId="0" applyFont="1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42" xfId="0" applyFill="1" applyBorder="1"/>
    <xf numFmtId="0" fontId="0" fillId="9" borderId="45" xfId="0" applyFill="1" applyBorder="1"/>
    <xf numFmtId="165" fontId="0" fillId="6" borderId="36" xfId="0" applyNumberFormat="1" applyFill="1" applyBorder="1"/>
    <xf numFmtId="1" fontId="24" fillId="10" borderId="116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164" fontId="0" fillId="13" borderId="34" xfId="0" applyNumberFormat="1" applyFill="1" applyBorder="1"/>
    <xf numFmtId="165" fontId="0" fillId="13" borderId="40" xfId="0" applyNumberFormat="1" applyFont="1" applyFill="1" applyBorder="1" applyAlignment="1">
      <alignment horizontal="right" vertical="center"/>
    </xf>
    <xf numFmtId="0" fontId="0" fillId="13" borderId="41" xfId="0" applyFill="1" applyBorder="1" applyAlignment="1">
      <alignment horizontal="left" vertical="center"/>
    </xf>
    <xf numFmtId="0" fontId="12" fillId="0" borderId="0" xfId="0" applyFont="1" applyBorder="1"/>
    <xf numFmtId="0" fontId="0" fillId="0" borderId="27" xfId="0" applyBorder="1"/>
    <xf numFmtId="1" fontId="0" fillId="4" borderId="31" xfId="0" applyNumberFormat="1" applyFill="1" applyBorder="1"/>
    <xf numFmtId="0" fontId="0" fillId="6" borderId="78" xfId="0" applyFill="1" applyBorder="1"/>
    <xf numFmtId="2" fontId="0" fillId="6" borderId="4" xfId="0" applyNumberFormat="1" applyFill="1" applyBorder="1"/>
    <xf numFmtId="165" fontId="0" fillId="6" borderId="31" xfId="0" applyNumberFormat="1" applyFill="1" applyBorder="1"/>
    <xf numFmtId="0" fontId="0" fillId="9" borderId="13" xfId="0" applyFill="1" applyBorder="1"/>
    <xf numFmtId="2" fontId="0" fillId="6" borderId="31" xfId="0" applyNumberFormat="1" applyFill="1" applyBorder="1"/>
    <xf numFmtId="1" fontId="0" fillId="0" borderId="81" xfId="0" applyNumberFormat="1" applyFill="1" applyBorder="1"/>
    <xf numFmtId="1" fontId="0" fillId="0" borderId="12" xfId="0" applyNumberFormat="1" applyBorder="1"/>
    <xf numFmtId="1" fontId="0" fillId="3" borderId="31" xfId="0" applyNumberFormat="1" applyFill="1" applyBorder="1"/>
    <xf numFmtId="1" fontId="0" fillId="0" borderId="71" xfId="0" applyNumberFormat="1" applyFill="1" applyBorder="1"/>
    <xf numFmtId="1" fontId="0" fillId="0" borderId="4" xfId="0" applyNumberFormat="1" applyFill="1" applyBorder="1"/>
    <xf numFmtId="1" fontId="0" fillId="0" borderId="31" xfId="0" applyNumberFormat="1" applyFill="1" applyBorder="1"/>
    <xf numFmtId="0" fontId="12" fillId="0" borderId="0" xfId="0" applyFont="1" applyBorder="1" applyAlignment="1">
      <alignment horizontal="left"/>
    </xf>
    <xf numFmtId="0" fontId="3" fillId="6" borderId="70" xfId="0" applyFont="1" applyFill="1" applyBorder="1"/>
    <xf numFmtId="1" fontId="3" fillId="6" borderId="65" xfId="0" applyNumberFormat="1" applyFont="1" applyFill="1" applyBorder="1"/>
    <xf numFmtId="0" fontId="3" fillId="6" borderId="66" xfId="0" applyFont="1" applyFill="1" applyBorder="1" applyAlignment="1">
      <alignment horizontal="left"/>
    </xf>
    <xf numFmtId="0" fontId="3" fillId="6" borderId="26" xfId="0" applyFont="1" applyFill="1" applyBorder="1"/>
    <xf numFmtId="164" fontId="0" fillId="0" borderId="43" xfId="0" applyNumberFormat="1" applyFill="1" applyBorder="1"/>
    <xf numFmtId="165" fontId="0" fillId="4" borderId="38" xfId="0" applyNumberFormat="1" applyFill="1" applyBorder="1"/>
    <xf numFmtId="11" fontId="0" fillId="4" borderId="38" xfId="0" applyNumberFormat="1" applyFill="1" applyBorder="1"/>
    <xf numFmtId="0" fontId="0" fillId="4" borderId="52" xfId="0" applyFill="1" applyBorder="1"/>
    <xf numFmtId="164" fontId="0" fillId="0" borderId="51" xfId="0" applyNumberFormat="1" applyFill="1" applyBorder="1"/>
    <xf numFmtId="164" fontId="0" fillId="0" borderId="51" xfId="0" applyNumberFormat="1" applyBorder="1"/>
    <xf numFmtId="0" fontId="11" fillId="0" borderId="0" xfId="0" applyFont="1" applyFill="1"/>
    <xf numFmtId="0" fontId="12" fillId="5" borderId="6" xfId="0" applyFont="1" applyFill="1" applyBorder="1"/>
    <xf numFmtId="0" fontId="12" fillId="6" borderId="7" xfId="0" applyFont="1" applyFill="1" applyBorder="1"/>
    <xf numFmtId="0" fontId="0" fillId="6" borderId="8" xfId="0" applyFill="1" applyBorder="1"/>
    <xf numFmtId="0" fontId="12" fillId="5" borderId="9" xfId="0" applyFont="1" applyFill="1" applyBorder="1"/>
    <xf numFmtId="0" fontId="0" fillId="6" borderId="10" xfId="0" applyFill="1" applyBorder="1"/>
    <xf numFmtId="0" fontId="11" fillId="6" borderId="10" xfId="0" applyFont="1" applyFill="1" applyBorder="1"/>
    <xf numFmtId="1" fontId="11" fillId="6" borderId="1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" fontId="11" fillId="0" borderId="4" xfId="0" applyNumberFormat="1" applyFont="1" applyBorder="1"/>
    <xf numFmtId="1" fontId="0" fillId="12" borderId="34" xfId="0" applyNumberFormat="1" applyFill="1" applyBorder="1"/>
    <xf numFmtId="0" fontId="0" fillId="6" borderId="12" xfId="0" applyFill="1" applyBorder="1"/>
    <xf numFmtId="0" fontId="0" fillId="6" borderId="13" xfId="0" applyFill="1" applyBorder="1"/>
    <xf numFmtId="0" fontId="0" fillId="0" borderId="0" xfId="0" applyAlignment="1">
      <alignment horizontal="left"/>
    </xf>
    <xf numFmtId="0" fontId="12" fillId="11" borderId="6" xfId="0" applyFont="1" applyFill="1" applyBorder="1"/>
    <xf numFmtId="0" fontId="12" fillId="11" borderId="7" xfId="0" applyFont="1" applyFill="1" applyBorder="1"/>
    <xf numFmtId="0" fontId="0" fillId="11" borderId="7" xfId="0" applyFill="1" applyBorder="1"/>
    <xf numFmtId="0" fontId="12" fillId="6" borderId="6" xfId="0" applyFont="1" applyFill="1" applyBorder="1"/>
    <xf numFmtId="0" fontId="0" fillId="11" borderId="9" xfId="0" applyFill="1" applyBorder="1"/>
    <xf numFmtId="0" fontId="13" fillId="0" borderId="27" xfId="0" applyFont="1" applyFill="1" applyBorder="1"/>
    <xf numFmtId="1" fontId="11" fillId="11" borderId="0" xfId="0" applyNumberFormat="1" applyFont="1" applyFill="1" applyBorder="1" applyAlignment="1">
      <alignment horizontal="right"/>
    </xf>
    <xf numFmtId="1" fontId="11" fillId="11" borderId="4" xfId="0" applyNumberFormat="1" applyFont="1" applyFill="1" applyBorder="1" applyAlignment="1">
      <alignment horizontal="right"/>
    </xf>
    <xf numFmtId="0" fontId="0" fillId="11" borderId="11" xfId="0" applyFill="1" applyBorder="1"/>
    <xf numFmtId="0" fontId="0" fillId="11" borderId="12" xfId="0" applyFill="1" applyBorder="1"/>
    <xf numFmtId="0" fontId="0" fillId="6" borderId="11" xfId="0" applyFill="1" applyBorder="1"/>
    <xf numFmtId="0" fontId="0" fillId="4" borderId="0" xfId="0" applyFill="1"/>
    <xf numFmtId="1" fontId="0" fillId="3" borderId="36" xfId="0" applyNumberFormat="1" applyFont="1" applyFill="1" applyBorder="1"/>
    <xf numFmtId="169" fontId="0" fillId="4" borderId="27" xfId="0" applyNumberFormat="1" applyFill="1" applyBorder="1"/>
    <xf numFmtId="11" fontId="0" fillId="0" borderId="0" xfId="0" applyNumberFormat="1" applyFill="1" applyBorder="1"/>
    <xf numFmtId="0" fontId="0" fillId="9" borderId="74" xfId="0" applyFill="1" applyBorder="1"/>
    <xf numFmtId="0" fontId="0" fillId="9" borderId="76" xfId="0" applyFill="1" applyBorder="1"/>
    <xf numFmtId="0" fontId="0" fillId="4" borderId="30" xfId="0" applyFill="1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2" fontId="0" fillId="0" borderId="4" xfId="0" applyNumberFormat="1" applyFill="1" applyBorder="1"/>
    <xf numFmtId="165" fontId="0" fillId="0" borderId="4" xfId="0" applyNumberFormat="1" applyFill="1" applyBorder="1"/>
    <xf numFmtId="165" fontId="0" fillId="4" borderId="0" xfId="0" applyNumberFormat="1" applyFill="1" applyBorder="1"/>
    <xf numFmtId="0" fontId="0" fillId="4" borderId="70" xfId="0" applyFill="1" applyBorder="1"/>
    <xf numFmtId="1" fontId="0" fillId="4" borderId="65" xfId="0" applyNumberFormat="1" applyFill="1" applyBorder="1"/>
    <xf numFmtId="0" fontId="0" fillId="4" borderId="65" xfId="0" applyFill="1" applyBorder="1"/>
    <xf numFmtId="0" fontId="0" fillId="3" borderId="70" xfId="0" applyFill="1" applyBorder="1"/>
    <xf numFmtId="1" fontId="0" fillId="3" borderId="65" xfId="0" applyNumberFormat="1" applyFill="1" applyBorder="1"/>
    <xf numFmtId="0" fontId="0" fillId="3" borderId="65" xfId="0" applyFill="1" applyBorder="1"/>
    <xf numFmtId="0" fontId="0" fillId="4" borderId="65" xfId="0" applyFill="1" applyBorder="1" applyAlignment="1">
      <alignment horizontal="right"/>
    </xf>
    <xf numFmtId="2" fontId="0" fillId="4" borderId="65" xfId="0" applyNumberFormat="1" applyFill="1" applyBorder="1"/>
    <xf numFmtId="164" fontId="0" fillId="4" borderId="117" xfId="0" applyNumberFormat="1" applyFill="1" applyBorder="1"/>
    <xf numFmtId="164" fontId="0" fillId="3" borderId="117" xfId="0" applyNumberFormat="1" applyFill="1" applyBorder="1"/>
    <xf numFmtId="0" fontId="0" fillId="3" borderId="78" xfId="0" applyFill="1" applyBorder="1"/>
    <xf numFmtId="164" fontId="0" fillId="2" borderId="68" xfId="0" applyNumberFormat="1" applyFill="1" applyBorder="1"/>
    <xf numFmtId="0" fontId="0" fillId="2" borderId="68" xfId="0" applyFill="1" applyBorder="1"/>
    <xf numFmtId="0" fontId="0" fillId="2" borderId="69" xfId="0" applyFill="1" applyBorder="1"/>
    <xf numFmtId="0" fontId="0" fillId="2" borderId="67" xfId="0" applyFill="1" applyBorder="1"/>
    <xf numFmtId="0" fontId="0" fillId="4" borderId="52" xfId="0" applyFill="1" applyBorder="1" applyAlignment="1">
      <alignment horizontal="left" vertical="center"/>
    </xf>
    <xf numFmtId="0" fontId="0" fillId="3" borderId="44" xfId="0" applyFill="1" applyBorder="1"/>
    <xf numFmtId="165" fontId="0" fillId="6" borderId="76" xfId="0" applyNumberFormat="1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right"/>
    </xf>
    <xf numFmtId="0" fontId="0" fillId="6" borderId="28" xfId="0" applyFill="1" applyBorder="1" applyAlignment="1">
      <alignment horizontal="right"/>
    </xf>
    <xf numFmtId="165" fontId="0" fillId="6" borderId="49" xfId="0" applyNumberFormat="1" applyFill="1" applyBorder="1"/>
    <xf numFmtId="0" fontId="0" fillId="6" borderId="12" xfId="0" applyFill="1" applyBorder="1" applyAlignment="1">
      <alignment horizontal="right"/>
    </xf>
    <xf numFmtId="0" fontId="0" fillId="6" borderId="77" xfId="0" applyFill="1" applyBorder="1" applyAlignment="1">
      <alignment horizontal="right"/>
    </xf>
    <xf numFmtId="0" fontId="0" fillId="6" borderId="49" xfId="0" applyNumberFormat="1" applyFill="1" applyBorder="1"/>
    <xf numFmtId="165" fontId="0" fillId="0" borderId="27" xfId="0" applyNumberFormat="1" applyFill="1" applyBorder="1"/>
    <xf numFmtId="2" fontId="0" fillId="6" borderId="76" xfId="0" applyNumberFormat="1" applyFill="1" applyBorder="1"/>
    <xf numFmtId="165" fontId="0" fillId="6" borderId="64" xfId="0" applyNumberFormat="1" applyFill="1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NumberFormat="1" applyBorder="1"/>
    <xf numFmtId="165" fontId="0" fillId="6" borderId="40" xfId="0" applyNumberFormat="1" applyFill="1" applyBorder="1"/>
    <xf numFmtId="2" fontId="0" fillId="0" borderId="27" xfId="0" applyNumberFormat="1" applyBorder="1"/>
    <xf numFmtId="1" fontId="0" fillId="0" borderId="27" xfId="0" applyNumberFormat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9" borderId="28" xfId="0" applyFill="1" applyBorder="1" applyAlignment="1">
      <alignment horizontal="center"/>
    </xf>
    <xf numFmtId="0" fontId="0" fillId="9" borderId="8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41" fillId="9" borderId="6" xfId="0" applyFont="1" applyFill="1" applyBorder="1" applyAlignment="1">
      <alignment horizontal="left" vertical="center"/>
    </xf>
    <xf numFmtId="0" fontId="41" fillId="9" borderId="7" xfId="0" applyFont="1" applyFill="1" applyBorder="1" applyAlignment="1">
      <alignment horizontal="left" vertical="center"/>
    </xf>
    <xf numFmtId="0" fontId="41" fillId="9" borderId="8" xfId="0" applyFont="1" applyFill="1" applyBorder="1" applyAlignment="1">
      <alignment horizontal="left" vertical="center"/>
    </xf>
    <xf numFmtId="0" fontId="41" fillId="9" borderId="9" xfId="0" applyFont="1" applyFill="1" applyBorder="1" applyAlignment="1">
      <alignment horizontal="left" vertical="center"/>
    </xf>
    <xf numFmtId="0" fontId="41" fillId="9" borderId="0" xfId="0" applyFont="1" applyFill="1" applyBorder="1" applyAlignment="1">
      <alignment horizontal="left" vertical="center"/>
    </xf>
    <xf numFmtId="0" fontId="41" fillId="9" borderId="10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13" borderId="74" xfId="0" applyFont="1" applyFill="1" applyBorder="1" applyAlignment="1">
      <alignment horizontal="center"/>
    </xf>
    <xf numFmtId="0" fontId="11" fillId="13" borderId="75" xfId="0" applyFont="1" applyFill="1" applyBorder="1" applyAlignment="1">
      <alignment horizontal="center"/>
    </xf>
    <xf numFmtId="0" fontId="11" fillId="13" borderId="76" xfId="0" applyFont="1" applyFill="1" applyBorder="1" applyAlignment="1">
      <alignment horizontal="center"/>
    </xf>
    <xf numFmtId="0" fontId="11" fillId="13" borderId="78" xfId="0" applyFont="1" applyFill="1" applyBorder="1" applyAlignment="1">
      <alignment horizontal="center"/>
    </xf>
    <xf numFmtId="0" fontId="11" fillId="13" borderId="7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0" fontId="0" fillId="2" borderId="52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4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12" borderId="30" xfId="0" applyFont="1" applyFill="1" applyBorder="1" applyAlignment="1">
      <alignment horizontal="left"/>
    </xf>
    <xf numFmtId="0" fontId="3" fillId="12" borderId="27" xfId="0" applyFont="1" applyFill="1" applyBorder="1" applyAlignment="1">
      <alignment horizontal="left"/>
    </xf>
    <xf numFmtId="0" fontId="3" fillId="12" borderId="3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Standaard" xfId="0" builtinId="0"/>
  </cellStyles>
  <dxfs count="24"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mruColors>
      <color rgb="FF669900"/>
      <color rgb="FFFF6600"/>
      <color rgb="FF00FF99"/>
      <color rgb="FFFF6000"/>
      <color rgb="FFFF3300"/>
      <color rgb="FFCC6600"/>
      <color rgb="FFFF5050"/>
      <color rgb="FFCCECFF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5" Type="http://schemas.openxmlformats.org/officeDocument/2006/relationships/image" Target="../media/image23.emf"/><Relationship Id="rId4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113489</xdr:colOff>
      <xdr:row>0</xdr:row>
      <xdr:rowOff>111238</xdr:rowOff>
    </xdr:from>
    <xdr:to>
      <xdr:col>15</xdr:col>
      <xdr:colOff>104451</xdr:colOff>
      <xdr:row>37</xdr:row>
      <xdr:rowOff>8107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89" y="111238"/>
          <a:ext cx="8989047" cy="6884571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18</xdr:row>
      <xdr:rowOff>68580</xdr:rowOff>
    </xdr:from>
    <xdr:to>
      <xdr:col>6</xdr:col>
      <xdr:colOff>601981</xdr:colOff>
      <xdr:row>18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flipH="1">
          <a:off x="2582333" y="3497580"/>
          <a:ext cx="4826848" cy="76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1690793</xdr:colOff>
      <xdr:row>16</xdr:row>
      <xdr:rowOff>67734</xdr:rowOff>
    </xdr:from>
    <xdr:to>
      <xdr:col>1</xdr:col>
      <xdr:colOff>1690793</xdr:colOff>
      <xdr:row>19</xdr:row>
      <xdr:rowOff>189654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2291926" y="3124201"/>
          <a:ext cx="0" cy="6807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1858434</xdr:colOff>
      <xdr:row>15</xdr:row>
      <xdr:rowOff>136314</xdr:rowOff>
    </xdr:from>
    <xdr:to>
      <xdr:col>2</xdr:col>
      <xdr:colOff>496685</xdr:colOff>
      <xdr:row>20</xdr:row>
      <xdr:rowOff>31581</xdr:rowOff>
    </xdr:to>
    <xdr:sp macro="" textlink="">
      <xdr:nvSpPr>
        <xdr:cNvPr id="6" name="Boog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 rot="13551392">
          <a:off x="2525326" y="2932288"/>
          <a:ext cx="936667" cy="1068185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1820333</xdr:colOff>
      <xdr:row>17</xdr:row>
      <xdr:rowOff>185421</xdr:rowOff>
    </xdr:from>
    <xdr:to>
      <xdr:col>1</xdr:col>
      <xdr:colOff>1942253</xdr:colOff>
      <xdr:row>18</xdr:row>
      <xdr:rowOff>113454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421466" y="3428154"/>
          <a:ext cx="12192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616375</xdr:colOff>
      <xdr:row>15</xdr:row>
      <xdr:rowOff>136314</xdr:rowOff>
    </xdr:from>
    <xdr:to>
      <xdr:col>1</xdr:col>
      <xdr:colOff>1546553</xdr:colOff>
      <xdr:row>20</xdr:row>
      <xdr:rowOff>31581</xdr:rowOff>
    </xdr:to>
    <xdr:sp macro="" textlink="">
      <xdr:nvSpPr>
        <xdr:cNvPr id="14" name="Boog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 rot="2860874">
          <a:off x="1214263" y="3001292"/>
          <a:ext cx="936667" cy="93017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601980</xdr:colOff>
      <xdr:row>16</xdr:row>
      <xdr:rowOff>60960</xdr:rowOff>
    </xdr:from>
    <xdr:to>
      <xdr:col>6</xdr:col>
      <xdr:colOff>601980</xdr:colOff>
      <xdr:row>18</xdr:row>
      <xdr:rowOff>68580</xdr:rowOff>
    </xdr:to>
    <xdr:cxnSp macro="">
      <xdr:nvCxnSpPr>
        <xdr:cNvPr id="16" name="Rechte verbindingslijn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V="1">
          <a:off x="7292340" y="3307080"/>
          <a:ext cx="0" cy="3733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2032000</xdr:colOff>
      <xdr:row>18</xdr:row>
      <xdr:rowOff>68580</xdr:rowOff>
    </xdr:from>
    <xdr:to>
      <xdr:col>6</xdr:col>
      <xdr:colOff>434339</xdr:colOff>
      <xdr:row>18</xdr:row>
      <xdr:rowOff>84667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H="1">
          <a:off x="2633133" y="3497580"/>
          <a:ext cx="4633806" cy="16087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1629832</xdr:colOff>
      <xdr:row>18</xdr:row>
      <xdr:rowOff>66887</xdr:rowOff>
    </xdr:from>
    <xdr:to>
      <xdr:col>1</xdr:col>
      <xdr:colOff>1751752</xdr:colOff>
      <xdr:row>18</xdr:row>
      <xdr:rowOff>181187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239432" y="3419687"/>
          <a:ext cx="12192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434338</xdr:colOff>
      <xdr:row>16</xdr:row>
      <xdr:rowOff>60960</xdr:rowOff>
    </xdr:from>
    <xdr:to>
      <xdr:col>6</xdr:col>
      <xdr:colOff>434338</xdr:colOff>
      <xdr:row>18</xdr:row>
      <xdr:rowOff>68580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flipV="1">
          <a:off x="6949438" y="3108960"/>
          <a:ext cx="0" cy="3733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1717885</xdr:colOff>
      <xdr:row>16</xdr:row>
      <xdr:rowOff>83819</xdr:rowOff>
    </xdr:from>
    <xdr:to>
      <xdr:col>1</xdr:col>
      <xdr:colOff>1717885</xdr:colOff>
      <xdr:row>19</xdr:row>
      <xdr:rowOff>205739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2319018" y="3140286"/>
          <a:ext cx="0" cy="6807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1885526</xdr:colOff>
      <xdr:row>15</xdr:row>
      <xdr:rowOff>152399</xdr:rowOff>
    </xdr:from>
    <xdr:to>
      <xdr:col>2</xdr:col>
      <xdr:colOff>523777</xdr:colOff>
      <xdr:row>20</xdr:row>
      <xdr:rowOff>47666</xdr:rowOff>
    </xdr:to>
    <xdr:sp macro="" textlink="">
      <xdr:nvSpPr>
        <xdr:cNvPr id="11" name="Boog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 rot="13551392">
          <a:off x="2552418" y="2948373"/>
          <a:ext cx="936667" cy="1068185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1847425</xdr:colOff>
      <xdr:row>18</xdr:row>
      <xdr:rowOff>15239</xdr:rowOff>
    </xdr:from>
    <xdr:to>
      <xdr:col>1</xdr:col>
      <xdr:colOff>1969345</xdr:colOff>
      <xdr:row>18</xdr:row>
      <xdr:rowOff>129539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448558" y="3444239"/>
          <a:ext cx="12192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643467</xdr:colOff>
      <xdr:row>15</xdr:row>
      <xdr:rowOff>152399</xdr:rowOff>
    </xdr:from>
    <xdr:to>
      <xdr:col>1</xdr:col>
      <xdr:colOff>1573645</xdr:colOff>
      <xdr:row>20</xdr:row>
      <xdr:rowOff>47666</xdr:rowOff>
    </xdr:to>
    <xdr:sp macro="" textlink="">
      <xdr:nvSpPr>
        <xdr:cNvPr id="13" name="Boog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 rot="2860874">
          <a:off x="1241355" y="3017377"/>
          <a:ext cx="936667" cy="930178"/>
        </a:xfrm>
        <a:prstGeom prst="arc">
          <a:avLst>
            <a:gd name="adj1" fmla="val 15693463"/>
            <a:gd name="adj2" fmla="val 518004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401955</xdr:colOff>
      <xdr:row>10</xdr:row>
      <xdr:rowOff>146685</xdr:rowOff>
    </xdr:from>
    <xdr:to>
      <xdr:col>15</xdr:col>
      <xdr:colOff>238125</xdr:colOff>
      <xdr:row>26</xdr:row>
      <xdr:rowOff>55245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955405" y="2575560"/>
          <a:ext cx="2360295" cy="3004185"/>
        </a:xfrm>
        <a:prstGeom prst="rect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396240</xdr:colOff>
      <xdr:row>5</xdr:row>
      <xdr:rowOff>160020</xdr:rowOff>
    </xdr:from>
    <xdr:to>
      <xdr:col>16</xdr:col>
      <xdr:colOff>0</xdr:colOff>
      <xdr:row>26</xdr:row>
      <xdr:rowOff>38100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252460" y="1866900"/>
          <a:ext cx="2362200" cy="3733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373378</xdr:colOff>
      <xdr:row>13</xdr:row>
      <xdr:rowOff>99060</xdr:rowOff>
    </xdr:from>
    <xdr:to>
      <xdr:col>14</xdr:col>
      <xdr:colOff>403858</xdr:colOff>
      <xdr:row>19</xdr:row>
      <xdr:rowOff>114301</xdr:rowOff>
    </xdr:to>
    <xdr:sp macro="" textlink="">
      <xdr:nvSpPr>
        <xdr:cNvPr id="4" name="Boog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5400000">
          <a:off x="9448798" y="3625215"/>
          <a:ext cx="920116" cy="935355"/>
        </a:xfrm>
        <a:prstGeom prst="arc">
          <a:avLst>
            <a:gd name="adj1" fmla="val 16200000"/>
            <a:gd name="adj2" fmla="val 5549373"/>
          </a:avLst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365764</xdr:colOff>
      <xdr:row>3</xdr:row>
      <xdr:rowOff>30484</xdr:rowOff>
    </xdr:from>
    <xdr:to>
      <xdr:col>12</xdr:col>
      <xdr:colOff>373624</xdr:colOff>
      <xdr:row>16</xdr:row>
      <xdr:rowOff>95882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>
          <a:stCxn id="4" idx="2"/>
        </xdr:cNvCxnSpPr>
      </xdr:nvCxnSpPr>
      <xdr:spPr>
        <a:xfrm flipH="1" flipV="1">
          <a:off x="10138414" y="449584"/>
          <a:ext cx="7860" cy="3122923"/>
        </a:xfrm>
        <a:prstGeom prst="line">
          <a:avLst/>
        </a:prstGeom>
        <a:ln w="6350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151188</xdr:colOff>
      <xdr:row>3</xdr:row>
      <xdr:rowOff>40005</xdr:rowOff>
    </xdr:from>
    <xdr:to>
      <xdr:col>11</xdr:col>
      <xdr:colOff>151188</xdr:colOff>
      <xdr:row>7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flipV="1">
          <a:off x="9423837" y="742628"/>
          <a:ext cx="0" cy="1050571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487680</xdr:colOff>
      <xdr:row>26</xdr:row>
      <xdr:rowOff>30480</xdr:rowOff>
    </xdr:from>
    <xdr:to>
      <xdr:col>15</xdr:col>
      <xdr:colOff>7620</xdr:colOff>
      <xdr:row>29</xdr:row>
      <xdr:rowOff>129540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flipH="1" flipV="1">
          <a:off x="10469880" y="5593080"/>
          <a:ext cx="15240" cy="64770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171351</xdr:colOff>
      <xdr:row>26</xdr:row>
      <xdr:rowOff>33919</xdr:rowOff>
    </xdr:from>
    <xdr:to>
      <xdr:col>11</xdr:col>
      <xdr:colOff>178971</xdr:colOff>
      <xdr:row>29</xdr:row>
      <xdr:rowOff>94879</xdr:rowOff>
    </xdr:to>
    <xdr:cxnSp macro="">
      <xdr:nvCxnSpPr>
        <xdr:cNvPr id="17" name="Rechte verbindingslijn met pijl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flipH="1" flipV="1">
          <a:off x="9444000" y="5496568"/>
          <a:ext cx="7620" cy="595350"/>
        </a:xfrm>
        <a:prstGeom prst="straightConnector1">
          <a:avLst/>
        </a:prstGeom>
        <a:ln w="635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400050</xdr:colOff>
      <xdr:row>3</xdr:row>
      <xdr:rowOff>66675</xdr:rowOff>
    </xdr:from>
    <xdr:to>
      <xdr:col>14</xdr:col>
      <xdr:colOff>400051</xdr:colOff>
      <xdr:row>5</xdr:row>
      <xdr:rowOff>161925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V="1">
          <a:off x="10372725" y="1409700"/>
          <a:ext cx="1" cy="457200"/>
        </a:xfrm>
        <a:prstGeom prst="line">
          <a:avLst/>
        </a:prstGeom>
        <a:ln w="63500">
          <a:solidFill>
            <a:schemeClr val="tx1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403858</xdr:colOff>
      <xdr:row>3</xdr:row>
      <xdr:rowOff>66678</xdr:rowOff>
    </xdr:from>
    <xdr:to>
      <xdr:col>14</xdr:col>
      <xdr:colOff>409575</xdr:colOff>
      <xdr:row>16</xdr:row>
      <xdr:rowOff>116206</xdr:rowOff>
    </xdr:to>
    <xdr:cxnSp macro="">
      <xdr:nvCxnSpPr>
        <xdr:cNvPr id="21" name="Rechte verbindingslijn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>
          <a:stCxn id="4" idx="0"/>
        </xdr:cNvCxnSpPr>
      </xdr:nvCxnSpPr>
      <xdr:spPr>
        <a:xfrm flipV="1">
          <a:off x="11081383" y="485778"/>
          <a:ext cx="5717" cy="3107053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114301</xdr:colOff>
      <xdr:row>18</xdr:row>
      <xdr:rowOff>152400</xdr:rowOff>
    </xdr:from>
    <xdr:to>
      <xdr:col>12</xdr:col>
      <xdr:colOff>466725</xdr:colOff>
      <xdr:row>20</xdr:row>
      <xdr:rowOff>123825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H="1">
          <a:off x="9791701" y="4143375"/>
          <a:ext cx="352424" cy="342900"/>
        </a:xfrm>
        <a:prstGeom prst="straightConnector1">
          <a:avLst/>
        </a:prstGeom>
        <a:ln w="635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220980" y="7025640"/>
          <a:ext cx="272796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5737860" y="701802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 flipV="1">
          <a:off x="5755581" y="634108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 flipV="1">
          <a:off x="220980" y="6332220"/>
          <a:ext cx="273558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V="1">
          <a:off x="2964180" y="636270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34</xdr:row>
      <xdr:rowOff>0</xdr:rowOff>
    </xdr:from>
    <xdr:to>
      <xdr:col>4</xdr:col>
      <xdr:colOff>15240</xdr:colOff>
      <xdr:row>37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flipH="1" flipV="1">
          <a:off x="2939528" y="6332220"/>
          <a:ext cx="1083832" cy="7086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flipV="1">
          <a:off x="4701540" y="633984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flipV="1">
          <a:off x="3998807" y="702564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4008120" y="633984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4686300" y="633984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220980" y="7208520"/>
          <a:ext cx="272796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737860" y="72009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flipH="1" flipV="1">
          <a:off x="5755581" y="651634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H="1" flipV="1">
          <a:off x="220980" y="6507480"/>
          <a:ext cx="273558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V="1">
          <a:off x="2964180" y="653796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34</xdr:row>
      <xdr:rowOff>0</xdr:rowOff>
    </xdr:from>
    <xdr:to>
      <xdr:col>4</xdr:col>
      <xdr:colOff>15240</xdr:colOff>
      <xdr:row>37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flipH="1" flipV="1">
          <a:off x="2939528" y="6507480"/>
          <a:ext cx="1083832" cy="71628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flipV="1">
          <a:off x="4701540" y="651510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flipV="1">
          <a:off x="3998807" y="72085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>
          <a:off x="4008120" y="651510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4686300" y="651510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220980" y="638556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5501640" y="637794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flipH="1" flipV="1">
          <a:off x="5519361" y="569338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 flipV="1">
          <a:off x="220980" y="568452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flipV="1">
          <a:off x="2727960" y="571500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2061308</xdr:colOff>
      <xdr:row>34</xdr:row>
      <xdr:rowOff>9770</xdr:rowOff>
    </xdr:from>
    <xdr:to>
      <xdr:col>4</xdr:col>
      <xdr:colOff>15241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flipH="1" flipV="1">
          <a:off x="2950308" y="6545385"/>
          <a:ext cx="1089856" cy="7067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V="1">
          <a:off x="4465320" y="569214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flipV="1">
          <a:off x="3762587" y="638556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3771900" y="569214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4450080" y="569214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220980" y="7200900"/>
          <a:ext cx="263652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5646420" y="71932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flipH="1" flipV="1">
          <a:off x="5664141" y="65087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 flipV="1">
          <a:off x="220980" y="6499860"/>
          <a:ext cx="264414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flipV="1">
          <a:off x="2872740" y="65303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2071077</xdr:colOff>
      <xdr:row>34</xdr:row>
      <xdr:rowOff>29308</xdr:rowOff>
    </xdr:from>
    <xdr:to>
      <xdr:col>4</xdr:col>
      <xdr:colOff>15241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flipH="1" flipV="1">
          <a:off x="2960077" y="6564923"/>
          <a:ext cx="1080087" cy="68716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flipV="1">
          <a:off x="4610100" y="65074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V="1">
          <a:off x="3907367" y="72009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3916680" y="65074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>
          <a:off x="4594860" y="65074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37</xdr:row>
      <xdr:rowOff>7620</xdr:rowOff>
    </xdr:from>
    <xdr:to>
      <xdr:col>3</xdr:col>
      <xdr:colOff>0</xdr:colOff>
      <xdr:row>37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220980" y="7200900"/>
          <a:ext cx="263652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601980</xdr:colOff>
      <xdr:row>37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5646420" y="71932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34</xdr:row>
      <xdr:rowOff>8860</xdr:rowOff>
    </xdr:from>
    <xdr:to>
      <xdr:col>9</xdr:col>
      <xdr:colOff>8965</xdr:colOff>
      <xdr:row>34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flipH="1" flipV="1">
          <a:off x="5664141" y="65087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3</xdr:col>
      <xdr:colOff>7620</xdr:colOff>
      <xdr:row>34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H="1" flipV="1">
          <a:off x="220980" y="6499860"/>
          <a:ext cx="264414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34</xdr:row>
      <xdr:rowOff>30480</xdr:rowOff>
    </xdr:from>
    <xdr:to>
      <xdr:col>3</xdr:col>
      <xdr:colOff>1036320</xdr:colOff>
      <xdr:row>37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V="1">
          <a:off x="2872740" y="65303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2051538</xdr:colOff>
      <xdr:row>34</xdr:row>
      <xdr:rowOff>9770</xdr:rowOff>
    </xdr:from>
    <xdr:to>
      <xdr:col>4</xdr:col>
      <xdr:colOff>15241</xdr:colOff>
      <xdr:row>37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flipH="1" flipV="1">
          <a:off x="2940538" y="6545385"/>
          <a:ext cx="1099626" cy="7067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34</xdr:row>
      <xdr:rowOff>7620</xdr:rowOff>
    </xdr:from>
    <xdr:to>
      <xdr:col>6</xdr:col>
      <xdr:colOff>0</xdr:colOff>
      <xdr:row>37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flipV="1">
          <a:off x="4610100" y="65074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37</xdr:row>
      <xdr:rowOff>7620</xdr:rowOff>
    </xdr:from>
    <xdr:to>
      <xdr:col>5</xdr:col>
      <xdr:colOff>15240</xdr:colOff>
      <xdr:row>37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flipV="1">
          <a:off x="3907367" y="72009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7620</xdr:rowOff>
    </xdr:from>
    <xdr:to>
      <xdr:col>4</xdr:col>
      <xdr:colOff>643467</xdr:colOff>
      <xdr:row>34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>
          <a:off x="3916680" y="65074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34</xdr:row>
      <xdr:rowOff>7620</xdr:rowOff>
    </xdr:from>
    <xdr:to>
      <xdr:col>6</xdr:col>
      <xdr:colOff>0</xdr:colOff>
      <xdr:row>37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>
          <a:off x="4594860" y="65074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18</xdr:row>
      <xdr:rowOff>0</xdr:rowOff>
    </xdr:from>
    <xdr:to>
      <xdr:col>49</xdr:col>
      <xdr:colOff>327660</xdr:colOff>
      <xdr:row>21</xdr:row>
      <xdr:rowOff>99060</xdr:rowOff>
    </xdr:to>
    <xdr:pic>
      <xdr:nvPicPr>
        <xdr:cNvPr id="4" name="Picture 5" descr="https://www.hhofstede.nl/modules/cardano_bestanden/image002.gif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28180" y="960120"/>
          <a:ext cx="6423660" cy="647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1249679</xdr:colOff>
      <xdr:row>3</xdr:row>
      <xdr:rowOff>53340</xdr:rowOff>
    </xdr:from>
    <xdr:to>
      <xdr:col>11</xdr:col>
      <xdr:colOff>266700</xdr:colOff>
      <xdr:row>12</xdr:row>
      <xdr:rowOff>133916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2559" y="243840"/>
          <a:ext cx="4701541" cy="20008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281940</xdr:colOff>
      <xdr:row>11</xdr:row>
      <xdr:rowOff>137160</xdr:rowOff>
    </xdr:from>
    <xdr:to>
      <xdr:col>15</xdr:col>
      <xdr:colOff>495300</xdr:colOff>
      <xdr:row>11</xdr:row>
      <xdr:rowOff>137160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8663940" y="2499360"/>
          <a:ext cx="2979420" cy="0"/>
        </a:xfrm>
        <a:prstGeom prst="straightConnector1">
          <a:avLst/>
        </a:prstGeom>
        <a:ln w="66675" cmpd="dbl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7</xdr:row>
      <xdr:rowOff>45720</xdr:rowOff>
    </xdr:from>
    <xdr:to>
      <xdr:col>13</xdr:col>
      <xdr:colOff>556260</xdr:colOff>
      <xdr:row>7</xdr:row>
      <xdr:rowOff>45720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>
          <a:off x="9570720" y="1592580"/>
          <a:ext cx="1287780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297180</xdr:colOff>
      <xdr:row>36</xdr:row>
      <xdr:rowOff>144780</xdr:rowOff>
    </xdr:from>
    <xdr:to>
      <xdr:col>18</xdr:col>
      <xdr:colOff>198120</xdr:colOff>
      <xdr:row>36</xdr:row>
      <xdr:rowOff>160020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CxnSpPr/>
      </xdr:nvCxnSpPr>
      <xdr:spPr>
        <a:xfrm flipV="1">
          <a:off x="8679180" y="7825740"/>
          <a:ext cx="4251960" cy="15240"/>
        </a:xfrm>
        <a:prstGeom prst="straightConnector1">
          <a:avLst/>
        </a:prstGeom>
        <a:ln w="66675" cmpd="dbl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31</xdr:row>
      <xdr:rowOff>45720</xdr:rowOff>
    </xdr:from>
    <xdr:to>
      <xdr:col>13</xdr:col>
      <xdr:colOff>556260</xdr:colOff>
      <xdr:row>31</xdr:row>
      <xdr:rowOff>45720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>
          <a:off x="9570720" y="6751320"/>
          <a:ext cx="1287780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31</xdr:row>
      <xdr:rowOff>45720</xdr:rowOff>
    </xdr:from>
    <xdr:to>
      <xdr:col>16</xdr:col>
      <xdr:colOff>556260</xdr:colOff>
      <xdr:row>31</xdr:row>
      <xdr:rowOff>45720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CxnSpPr/>
      </xdr:nvCxnSpPr>
      <xdr:spPr>
        <a:xfrm>
          <a:off x="10866120" y="6751320"/>
          <a:ext cx="1493520" cy="0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281940</xdr:colOff>
      <xdr:row>57</xdr:row>
      <xdr:rowOff>121920</xdr:rowOff>
    </xdr:from>
    <xdr:to>
      <xdr:col>12</xdr:col>
      <xdr:colOff>358140</xdr:colOff>
      <xdr:row>57</xdr:row>
      <xdr:rowOff>137160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flipV="1">
          <a:off x="8663940" y="12237720"/>
          <a:ext cx="1531620" cy="15240"/>
        </a:xfrm>
        <a:prstGeom prst="straightConnector1">
          <a:avLst/>
        </a:prstGeom>
        <a:ln w="66675" cmpd="dbl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131380</xdr:colOff>
      <xdr:row>13</xdr:row>
      <xdr:rowOff>78831</xdr:rowOff>
    </xdr:from>
    <xdr:to>
      <xdr:col>17</xdr:col>
      <xdr:colOff>375920</xdr:colOff>
      <xdr:row>25</xdr:row>
      <xdr:rowOff>54430</xdr:rowOff>
    </xdr:to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276660" y="2435951"/>
          <a:ext cx="6675820" cy="2342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538479</xdr:colOff>
      <xdr:row>13</xdr:row>
      <xdr:rowOff>75435</xdr:rowOff>
    </xdr:from>
    <xdr:to>
      <xdr:col>32</xdr:col>
      <xdr:colOff>10160</xdr:colOff>
      <xdr:row>25</xdr:row>
      <xdr:rowOff>54430</xdr:rowOff>
    </xdr:to>
    <xdr:sp macro="" textlink="">
      <xdr:nvSpPr>
        <xdr:cNvPr id="23" name="Rechthoek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115039" y="2432555"/>
          <a:ext cx="7345681" cy="23462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111323</xdr:colOff>
      <xdr:row>25</xdr:row>
      <xdr:rowOff>162559</xdr:rowOff>
    </xdr:from>
    <xdr:to>
      <xdr:col>17</xdr:col>
      <xdr:colOff>375920</xdr:colOff>
      <xdr:row>37</xdr:row>
      <xdr:rowOff>57150</xdr:rowOff>
    </xdr:to>
    <xdr:sp macro="" textlink="">
      <xdr:nvSpPr>
        <xdr:cNvPr id="24" name="Rechthoek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256603" y="4886959"/>
          <a:ext cx="6695877" cy="221107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528320</xdr:colOff>
      <xdr:row>25</xdr:row>
      <xdr:rowOff>152400</xdr:rowOff>
    </xdr:from>
    <xdr:to>
      <xdr:col>32</xdr:col>
      <xdr:colOff>8165</xdr:colOff>
      <xdr:row>37</xdr:row>
      <xdr:rowOff>38101</xdr:rowOff>
    </xdr:to>
    <xdr:sp macro="" textlink="">
      <xdr:nvSpPr>
        <xdr:cNvPr id="25" name="Rechthoek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104880" y="4876800"/>
          <a:ext cx="7353845" cy="22021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122465</xdr:colOff>
      <xdr:row>37</xdr:row>
      <xdr:rowOff>172720</xdr:rowOff>
    </xdr:from>
    <xdr:to>
      <xdr:col>17</xdr:col>
      <xdr:colOff>386080</xdr:colOff>
      <xdr:row>49</xdr:row>
      <xdr:rowOff>32202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67745" y="7213600"/>
          <a:ext cx="6694895" cy="21861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17</xdr:col>
      <xdr:colOff>538480</xdr:colOff>
      <xdr:row>37</xdr:row>
      <xdr:rowOff>152400</xdr:rowOff>
    </xdr:from>
    <xdr:to>
      <xdr:col>32</xdr:col>
      <xdr:colOff>17690</xdr:colOff>
      <xdr:row>49</xdr:row>
      <xdr:rowOff>32203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115040" y="7193280"/>
          <a:ext cx="7353210" cy="220644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15</xdr:row>
          <xdr:rowOff>304800</xdr:rowOff>
        </xdr:from>
        <xdr:to>
          <xdr:col>16</xdr:col>
          <xdr:colOff>723900</xdr:colOff>
          <xdr:row>24</xdr:row>
          <xdr:rowOff>101600</xdr:rowOff>
        </xdr:to>
        <xdr:pic>
          <xdr:nvPicPr>
            <xdr:cNvPr id="1194" name="Picture 2">
              <a:extLs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1'!$B$35:$I$43" spid="_x0000_s120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29200" y="3009900"/>
              <a:ext cx="6743700" cy="1803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203200</xdr:rowOff>
        </xdr:from>
        <xdr:to>
          <xdr:col>17</xdr:col>
          <xdr:colOff>508000</xdr:colOff>
          <xdr:row>35</xdr:row>
          <xdr:rowOff>279400</xdr:rowOff>
        </xdr:to>
        <xdr:pic>
          <xdr:nvPicPr>
            <xdr:cNvPr id="1195" name="Picture 5">
              <a:extLs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3'!$B$35:$J$43" spid="_x0000_s120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03800" y="5549900"/>
              <a:ext cx="7277100" cy="1612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381000</xdr:colOff>
          <xdr:row>27</xdr:row>
          <xdr:rowOff>241300</xdr:rowOff>
        </xdr:from>
        <xdr:to>
          <xdr:col>30</xdr:col>
          <xdr:colOff>685800</xdr:colOff>
          <xdr:row>35</xdr:row>
          <xdr:rowOff>279400</xdr:rowOff>
        </xdr:to>
        <xdr:pic>
          <xdr:nvPicPr>
            <xdr:cNvPr id="1196" name="Picture 11">
              <a:extLs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4'!$B$35:$I$43" spid="_x0000_s120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776200" y="5549900"/>
              <a:ext cx="7112000" cy="1612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15</xdr:row>
          <xdr:rowOff>241300</xdr:rowOff>
        </xdr:from>
        <xdr:to>
          <xdr:col>31</xdr:col>
          <xdr:colOff>596900</xdr:colOff>
          <xdr:row>24</xdr:row>
          <xdr:rowOff>114300</xdr:rowOff>
        </xdr:to>
        <xdr:pic>
          <xdr:nvPicPr>
            <xdr:cNvPr id="1197" name="Picture 14">
              <a:extLs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2'!$B$35:$J$43" spid="_x0000_s120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814300" y="3009900"/>
              <a:ext cx="7670800" cy="1816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393700</xdr:colOff>
          <xdr:row>39</xdr:row>
          <xdr:rowOff>203200</xdr:rowOff>
        </xdr:from>
        <xdr:to>
          <xdr:col>30</xdr:col>
          <xdr:colOff>698500</xdr:colOff>
          <xdr:row>48</xdr:row>
          <xdr:rowOff>114300</xdr:rowOff>
        </xdr:to>
        <xdr:pic>
          <xdr:nvPicPr>
            <xdr:cNvPr id="1198" name="Picture 18">
              <a:extLs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6'!$B$35:$I$43" spid="_x0000_s120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788900" y="8026400"/>
              <a:ext cx="7099300" cy="1638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39</xdr:row>
          <xdr:rowOff>266700</xdr:rowOff>
        </xdr:from>
        <xdr:to>
          <xdr:col>17</xdr:col>
          <xdr:colOff>622300</xdr:colOff>
          <xdr:row>48</xdr:row>
          <xdr:rowOff>139700</xdr:rowOff>
        </xdr:to>
        <xdr:pic>
          <xdr:nvPicPr>
            <xdr:cNvPr id="1200" name="Picture 22">
              <a:extLs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HE5'!$B$35:$J$43" spid="_x0000_s120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76800" y="8026400"/>
              <a:ext cx="7518400" cy="1663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14</xdr:row>
      <xdr:rowOff>0</xdr:rowOff>
    </xdr:from>
    <xdr:to>
      <xdr:col>13</xdr:col>
      <xdr:colOff>853440</xdr:colOff>
      <xdr:row>24</xdr:row>
      <xdr:rowOff>71120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6160" y="2672080"/>
          <a:ext cx="6664960" cy="203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14</xdr:col>
      <xdr:colOff>20320</xdr:colOff>
      <xdr:row>14</xdr:row>
      <xdr:rowOff>0</xdr:rowOff>
    </xdr:from>
    <xdr:to>
      <xdr:col>23</xdr:col>
      <xdr:colOff>589280</xdr:colOff>
      <xdr:row>24</xdr:row>
      <xdr:rowOff>60960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12880" y="2672080"/>
          <a:ext cx="6512560" cy="20218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203200</xdr:colOff>
      <xdr:row>24</xdr:row>
      <xdr:rowOff>152400</xdr:rowOff>
    </xdr:from>
    <xdr:to>
      <xdr:col>13</xdr:col>
      <xdr:colOff>873760</xdr:colOff>
      <xdr:row>35</xdr:row>
      <xdr:rowOff>162560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36160" y="4785360"/>
          <a:ext cx="6685280" cy="21437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14</xdr:col>
      <xdr:colOff>40640</xdr:colOff>
      <xdr:row>24</xdr:row>
      <xdr:rowOff>182880</xdr:rowOff>
    </xdr:from>
    <xdr:to>
      <xdr:col>23</xdr:col>
      <xdr:colOff>599440</xdr:colOff>
      <xdr:row>35</xdr:row>
      <xdr:rowOff>162560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33200" y="4815840"/>
          <a:ext cx="6502400" cy="2113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213360</xdr:colOff>
      <xdr:row>36</xdr:row>
      <xdr:rowOff>30480</xdr:rowOff>
    </xdr:from>
    <xdr:to>
      <xdr:col>13</xdr:col>
      <xdr:colOff>873760</xdr:colOff>
      <xdr:row>46</xdr:row>
      <xdr:rowOff>121920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6320" y="6979920"/>
          <a:ext cx="6675120" cy="20929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25</xdr:row>
          <xdr:rowOff>190500</xdr:rowOff>
        </xdr:from>
        <xdr:to>
          <xdr:col>13</xdr:col>
          <xdr:colOff>1346200</xdr:colOff>
          <xdr:row>35</xdr:row>
          <xdr:rowOff>215900</xdr:rowOff>
        </xdr:to>
        <xdr:pic>
          <xdr:nvPicPr>
            <xdr:cNvPr id="2162" name="Picture 3">
              <a:extLs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2'!$B$30:$J$41" spid="_x0000_s216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65800" y="5232400"/>
              <a:ext cx="7099300" cy="2006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190500</xdr:rowOff>
        </xdr:from>
        <xdr:to>
          <xdr:col>13</xdr:col>
          <xdr:colOff>1358900</xdr:colOff>
          <xdr:row>24</xdr:row>
          <xdr:rowOff>177800</xdr:rowOff>
        </xdr:to>
        <xdr:pic>
          <xdr:nvPicPr>
            <xdr:cNvPr id="2163" name="Picture 5">
              <a:extLs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1.1'!$B$30:$J$41" spid="_x0000_s216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15000" y="2984500"/>
              <a:ext cx="7150100" cy="201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14</xdr:row>
          <xdr:rowOff>139700</xdr:rowOff>
        </xdr:from>
        <xdr:to>
          <xdr:col>23</xdr:col>
          <xdr:colOff>660400</xdr:colOff>
          <xdr:row>24</xdr:row>
          <xdr:rowOff>0</xdr:rowOff>
        </xdr:to>
        <xdr:pic>
          <xdr:nvPicPr>
            <xdr:cNvPr id="2164" name="Picture 6">
              <a:extLs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1.2'!$B$30:$J$40" spid="_x0000_s216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182600" y="2933700"/>
              <a:ext cx="6908800" cy="1892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25</xdr:row>
          <xdr:rowOff>241300</xdr:rowOff>
        </xdr:from>
        <xdr:to>
          <xdr:col>23</xdr:col>
          <xdr:colOff>774700</xdr:colOff>
          <xdr:row>34</xdr:row>
          <xdr:rowOff>215900</xdr:rowOff>
        </xdr:to>
        <xdr:pic>
          <xdr:nvPicPr>
            <xdr:cNvPr id="2165" name="Picture 7">
              <a:extLs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3'!$B$30:$J$40" spid="_x0000_s2170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258800" y="5283200"/>
              <a:ext cx="6845300" cy="1765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711200</xdr:colOff>
          <xdr:row>36</xdr:row>
          <xdr:rowOff>266700</xdr:rowOff>
        </xdr:from>
        <xdr:to>
          <xdr:col>13</xdr:col>
          <xdr:colOff>1371600</xdr:colOff>
          <xdr:row>46</xdr:row>
          <xdr:rowOff>215900</xdr:rowOff>
        </xdr:to>
        <xdr:pic>
          <xdr:nvPicPr>
            <xdr:cNvPr id="2166" name="Picture 8">
              <a:extLs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ON4'!$B$30:$J$41" spid="_x0000_s2171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854700" y="7429500"/>
              <a:ext cx="7010400" cy="2057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594360" y="4861560"/>
          <a:ext cx="29489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6179820" y="4709160"/>
          <a:ext cx="221742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1046182</xdr:colOff>
      <xdr:row>37</xdr:row>
      <xdr:rowOff>14793</xdr:rowOff>
    </xdr:from>
    <xdr:to>
      <xdr:col>8</xdr:col>
      <xdr:colOff>627529</xdr:colOff>
      <xdr:row>37</xdr:row>
      <xdr:rowOff>17930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510606" y="4488181"/>
          <a:ext cx="3409276" cy="313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594360" y="5547360"/>
          <a:ext cx="29565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V="1">
          <a:off x="3299460" y="488442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2061307</xdr:colOff>
      <xdr:row>37</xdr:row>
      <xdr:rowOff>19539</xdr:rowOff>
    </xdr:from>
    <xdr:to>
      <xdr:col>4</xdr:col>
      <xdr:colOff>15241</xdr:colOff>
      <xdr:row>40</xdr:row>
      <xdr:rowOff>22861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 flipV="1">
          <a:off x="2940538" y="7063154"/>
          <a:ext cx="1089857" cy="67739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21" name="Rechte verbindingslijn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V="1">
          <a:off x="5013960" y="486156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22" name="Rechte verbindingslijn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flipV="1">
          <a:off x="3996267" y="5807287"/>
          <a:ext cx="675640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27" name="Rechte verbindingslijn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4004733" y="51130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30" name="Rechte verbindingslijn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4998720" y="486156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20980" y="521970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5501640" y="521208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37</xdr:row>
      <xdr:rowOff>8860</xdr:rowOff>
    </xdr:from>
    <xdr:to>
      <xdr:col>9</xdr:col>
      <xdr:colOff>8965</xdr:colOff>
      <xdr:row>37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 flipV="1">
          <a:off x="5519361" y="452752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 flipV="1">
          <a:off x="220980" y="451866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2727960" y="45491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2071077</xdr:colOff>
      <xdr:row>37</xdr:row>
      <xdr:rowOff>9770</xdr:rowOff>
    </xdr:from>
    <xdr:to>
      <xdr:col>4</xdr:col>
      <xdr:colOff>15241</xdr:colOff>
      <xdr:row>40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 flipV="1">
          <a:off x="2950308" y="7053385"/>
          <a:ext cx="1080087" cy="68716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4465320" y="45262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3762587" y="52197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771900" y="45262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4450080" y="45262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20980" y="521970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39077</xdr:colOff>
      <xdr:row>40</xdr:row>
      <xdr:rowOff>29308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744308" y="7913077"/>
          <a:ext cx="3556000" cy="29308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1016000</xdr:colOff>
      <xdr:row>37</xdr:row>
      <xdr:rowOff>0</xdr:rowOff>
    </xdr:from>
    <xdr:to>
      <xdr:col>9</xdr:col>
      <xdr:colOff>8966</xdr:colOff>
      <xdr:row>37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 flipV="1">
          <a:off x="5705231" y="7239000"/>
          <a:ext cx="3564966" cy="896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H="1" flipV="1">
          <a:off x="220980" y="451866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2727960" y="454914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9769</xdr:rowOff>
    </xdr:from>
    <xdr:to>
      <xdr:col>4</xdr:col>
      <xdr:colOff>15241</xdr:colOff>
      <xdr:row>40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 flipV="1">
          <a:off x="2960077" y="7248769"/>
          <a:ext cx="1070318" cy="68716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4465320" y="452628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V="1">
          <a:off x="3762587" y="521970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3771900" y="452628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4450080" y="452628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90500" y="58369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5471160" y="58293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1046182</xdr:colOff>
      <xdr:row>37</xdr:row>
      <xdr:rowOff>14793</xdr:rowOff>
    </xdr:from>
    <xdr:to>
      <xdr:col>8</xdr:col>
      <xdr:colOff>627529</xdr:colOff>
      <xdr:row>37</xdr:row>
      <xdr:rowOff>17930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 flipV="1">
          <a:off x="5458162" y="5158293"/>
          <a:ext cx="3414207" cy="313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 flipV="1">
          <a:off x="190500" y="514350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2697480" y="517398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2071077</xdr:colOff>
      <xdr:row>37</xdr:row>
      <xdr:rowOff>39077</xdr:rowOff>
    </xdr:from>
    <xdr:to>
      <xdr:col>4</xdr:col>
      <xdr:colOff>15241</xdr:colOff>
      <xdr:row>40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H="1" flipV="1">
          <a:off x="2950308" y="7297615"/>
          <a:ext cx="1080087" cy="6578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4434840" y="515112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3732107" y="58369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3741420" y="51511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4419600" y="515112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220980" y="58369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5501640" y="58293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37</xdr:row>
      <xdr:rowOff>8860</xdr:rowOff>
    </xdr:from>
    <xdr:to>
      <xdr:col>9</xdr:col>
      <xdr:colOff>8965</xdr:colOff>
      <xdr:row>37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 flipV="1">
          <a:off x="5519361" y="515236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 flipV="1">
          <a:off x="220980" y="514350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2727960" y="5173980"/>
          <a:ext cx="1021080" cy="67056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2070848</xdr:colOff>
      <xdr:row>37</xdr:row>
      <xdr:rowOff>0</xdr:rowOff>
    </xdr:from>
    <xdr:to>
      <xdr:col>4</xdr:col>
      <xdr:colOff>15240</xdr:colOff>
      <xdr:row>40</xdr:row>
      <xdr:rowOff>22861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 flipV="1">
          <a:off x="2940424" y="5056094"/>
          <a:ext cx="1082040" cy="7221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V="1">
          <a:off x="4465320" y="5151120"/>
          <a:ext cx="1036320" cy="6934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3762587" y="58369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>
          <a:off x="3771900" y="515112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4450080" y="5151120"/>
          <a:ext cx="105156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40</xdr:row>
      <xdr:rowOff>7620</xdr:rowOff>
    </xdr:from>
    <xdr:to>
      <xdr:col>3</xdr:col>
      <xdr:colOff>0</xdr:colOff>
      <xdr:row>40</xdr:row>
      <xdr:rowOff>7620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220980" y="7894320"/>
          <a:ext cx="2491740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8</xdr:col>
      <xdr:colOff>601980</xdr:colOff>
      <xdr:row>40</xdr:row>
      <xdr:rowOff>22860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5501640" y="7886700"/>
          <a:ext cx="3375660" cy="2286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17721</xdr:colOff>
      <xdr:row>37</xdr:row>
      <xdr:rowOff>8860</xdr:rowOff>
    </xdr:from>
    <xdr:to>
      <xdr:col>9</xdr:col>
      <xdr:colOff>8965</xdr:colOff>
      <xdr:row>37</xdr:row>
      <xdr:rowOff>8966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 flipV="1">
          <a:off x="5519361" y="7202140"/>
          <a:ext cx="3412624" cy="10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37</xdr:row>
      <xdr:rowOff>0</xdr:rowOff>
    </xdr:from>
    <xdr:to>
      <xdr:col>3</xdr:col>
      <xdr:colOff>7620</xdr:colOff>
      <xdr:row>37</xdr:row>
      <xdr:rowOff>7620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 flipV="1">
          <a:off x="220980" y="7193280"/>
          <a:ext cx="2499360" cy="76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37</xdr:row>
      <xdr:rowOff>30480</xdr:rowOff>
    </xdr:from>
    <xdr:to>
      <xdr:col>3</xdr:col>
      <xdr:colOff>1036320</xdr:colOff>
      <xdr:row>40</xdr:row>
      <xdr:rowOff>15240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2727960" y="7223760"/>
          <a:ext cx="1021080" cy="67818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1927860</xdr:colOff>
      <xdr:row>37</xdr:row>
      <xdr:rowOff>7620</xdr:rowOff>
    </xdr:from>
    <xdr:to>
      <xdr:col>4</xdr:col>
      <xdr:colOff>15240</xdr:colOff>
      <xdr:row>40</xdr:row>
      <xdr:rowOff>22860</xdr:rowOff>
    </xdr:to>
    <xdr:cxnSp macro="">
      <xdr:nvCxnSpPr>
        <xdr:cNvPr id="7" name="Rechte verbindingslij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flipH="1" flipV="1">
          <a:off x="2674620" y="7200900"/>
          <a:ext cx="1112520" cy="7086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37</xdr:row>
      <xdr:rowOff>7620</xdr:rowOff>
    </xdr:from>
    <xdr:to>
      <xdr:col>6</xdr:col>
      <xdr:colOff>0</xdr:colOff>
      <xdr:row>40</xdr:row>
      <xdr:rowOff>15240</xdr:rowOff>
    </xdr:to>
    <xdr:cxnSp macro="">
      <xdr:nvCxnSpPr>
        <xdr:cNvPr id="8" name="Rechte verbindingslijn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flipV="1">
          <a:off x="4465320" y="7200900"/>
          <a:ext cx="1036320" cy="70104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1049867</xdr:colOff>
      <xdr:row>40</xdr:row>
      <xdr:rowOff>7620</xdr:rowOff>
    </xdr:from>
    <xdr:to>
      <xdr:col>5</xdr:col>
      <xdr:colOff>15240</xdr:colOff>
      <xdr:row>40</xdr:row>
      <xdr:rowOff>16933</xdr:rowOff>
    </xdr:to>
    <xdr:cxnSp macro="">
      <xdr:nvCxnSpPr>
        <xdr:cNvPr id="9" name="Rechte verbindingslij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V="1">
          <a:off x="3762587" y="7894320"/>
          <a:ext cx="695113" cy="9313"/>
        </a:xfrm>
        <a:prstGeom prst="line">
          <a:avLst/>
        </a:prstGeom>
        <a:ln w="28575">
          <a:solidFill>
            <a:srgbClr val="FF0000"/>
          </a:solidFill>
          <a:head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7620</xdr:rowOff>
    </xdr:from>
    <xdr:to>
      <xdr:col>4</xdr:col>
      <xdr:colOff>643467</xdr:colOff>
      <xdr:row>37</xdr:row>
      <xdr:rowOff>8467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3771900" y="7200900"/>
          <a:ext cx="643467" cy="847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37</xdr:row>
      <xdr:rowOff>7620</xdr:rowOff>
    </xdr:from>
    <xdr:to>
      <xdr:col>6</xdr:col>
      <xdr:colOff>0</xdr:colOff>
      <xdr:row>40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4450080" y="7200900"/>
          <a:ext cx="1051560" cy="6858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gineeringtoolbox.com/density-specific-weight-gravity-d_290.html" TargetMode="External"/><Relationship Id="rId3" Type="http://schemas.openxmlformats.org/officeDocument/2006/relationships/hyperlink" Target="https://www.engineeringtoolbox.com/pressure-d_587.html" TargetMode="External"/><Relationship Id="rId7" Type="http://schemas.openxmlformats.org/officeDocument/2006/relationships/hyperlink" Target="https://www.engineeringtoolbox.com/density-specific-weight-gravity-d_290.html" TargetMode="External"/><Relationship Id="rId2" Type="http://schemas.openxmlformats.org/officeDocument/2006/relationships/hyperlink" Target="https://www.engineeringtoolbox.com/pressure-d_587.html" TargetMode="External"/><Relationship Id="rId1" Type="http://schemas.openxmlformats.org/officeDocument/2006/relationships/hyperlink" Target="https://www.engineeringtoolbox.com/pressure-d_587.html" TargetMode="External"/><Relationship Id="rId6" Type="http://schemas.openxmlformats.org/officeDocument/2006/relationships/hyperlink" Target="https://www.engineeringtoolbox.com/density-specific-weight-gravity-d_290.html" TargetMode="External"/><Relationship Id="rId11" Type="http://schemas.openxmlformats.org/officeDocument/2006/relationships/drawing" Target="../drawings/drawing12.xml"/><Relationship Id="rId5" Type="http://schemas.openxmlformats.org/officeDocument/2006/relationships/hyperlink" Target="https://www.engineeringtoolbox.com/temperature-d_291.html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s://www.engineeringtoolbox.com/temperature-d_291.html" TargetMode="External"/><Relationship Id="rId9" Type="http://schemas.openxmlformats.org/officeDocument/2006/relationships/hyperlink" Target="https://www.engineeringtoolbox.com/density-specific-weight-gravity-d_290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1"/>
  <dimension ref="Q1:Y37"/>
  <sheetViews>
    <sheetView zoomScale="94" zoomScaleNormal="94" workbookViewId="0">
      <selection activeCell="B39" sqref="B39"/>
    </sheetView>
  </sheetViews>
  <sheetFormatPr baseColWidth="10" defaultColWidth="8.83203125" defaultRowHeight="15" x14ac:dyDescent="0.2"/>
  <cols>
    <col min="16" max="16" width="3.5" customWidth="1"/>
    <col min="17" max="17" width="4.6640625" customWidth="1"/>
    <col min="18" max="23" width="8.5" bestFit="1" customWidth="1"/>
    <col min="24" max="24" width="9.1640625" bestFit="1" customWidth="1"/>
    <col min="25" max="25" width="12.5" bestFit="1" customWidth="1"/>
  </cols>
  <sheetData>
    <row r="1" spans="17:25" ht="9.5" customHeight="1" thickBot="1" x14ac:dyDescent="0.25"/>
    <row r="2" spans="17:25" s="534" customFormat="1" ht="27.5" customHeight="1" x14ac:dyDescent="0.2">
      <c r="Q2" s="536"/>
      <c r="R2" s="537" t="s">
        <v>473</v>
      </c>
      <c r="S2" s="537" t="s">
        <v>474</v>
      </c>
      <c r="T2" s="537" t="s">
        <v>475</v>
      </c>
      <c r="U2" s="537" t="s">
        <v>476</v>
      </c>
      <c r="V2" s="537" t="s">
        <v>477</v>
      </c>
      <c r="W2" s="537" t="s">
        <v>478</v>
      </c>
      <c r="X2" s="537" t="s">
        <v>479</v>
      </c>
      <c r="Y2" s="538" t="s">
        <v>480</v>
      </c>
    </row>
    <row r="3" spans="17:25" x14ac:dyDescent="0.2">
      <c r="Q3" s="539">
        <v>1</v>
      </c>
      <c r="R3" s="540">
        <f>'Input-Results'!F5</f>
        <v>1</v>
      </c>
      <c r="S3" s="541"/>
      <c r="T3" s="541"/>
      <c r="U3" s="541"/>
      <c r="V3" s="541"/>
      <c r="W3" s="541"/>
      <c r="X3" s="541">
        <v>1</v>
      </c>
      <c r="Y3" s="542">
        <f>'Input-Results'!D18</f>
        <v>21</v>
      </c>
    </row>
    <row r="4" spans="17:25" x14ac:dyDescent="0.2">
      <c r="Q4" s="539">
        <v>2</v>
      </c>
      <c r="R4" s="540">
        <f>'Input-Results'!F5</f>
        <v>1</v>
      </c>
      <c r="S4" s="541"/>
      <c r="T4" s="541"/>
      <c r="U4" s="541"/>
      <c r="V4" s="541"/>
      <c r="W4" s="541"/>
      <c r="X4" s="541">
        <v>1</v>
      </c>
      <c r="Y4" s="542">
        <f>'HE1'!E20</f>
        <v>657.55114015409561</v>
      </c>
    </row>
    <row r="5" spans="17:25" x14ac:dyDescent="0.2">
      <c r="Q5" s="539">
        <v>3</v>
      </c>
      <c r="R5" s="540">
        <f>'Input-Results'!F5</f>
        <v>1</v>
      </c>
      <c r="S5" s="540"/>
      <c r="T5" s="541"/>
      <c r="U5" s="541"/>
      <c r="V5" s="541"/>
      <c r="W5" s="541"/>
      <c r="X5" s="543">
        <v>1</v>
      </c>
      <c r="Y5" s="542">
        <f>'HE1'!I14</f>
        <v>725</v>
      </c>
    </row>
    <row r="6" spans="17:25" x14ac:dyDescent="0.2">
      <c r="Q6" s="539">
        <v>4</v>
      </c>
      <c r="R6" s="540">
        <f>'Input-Results'!F5</f>
        <v>1</v>
      </c>
      <c r="S6" s="540">
        <f>'Input-Results'!J6</f>
        <v>0.36</v>
      </c>
      <c r="T6" s="541"/>
      <c r="U6" s="541"/>
      <c r="V6" s="541"/>
      <c r="W6" s="541"/>
      <c r="X6" s="543">
        <v>1</v>
      </c>
      <c r="Y6" s="542">
        <f>'Input-Results'!D21</f>
        <v>725</v>
      </c>
    </row>
    <row r="7" spans="17:25" x14ac:dyDescent="0.2">
      <c r="Q7" s="539">
        <v>5</v>
      </c>
      <c r="R7" s="540">
        <f>'Input-Results'!F5</f>
        <v>1</v>
      </c>
      <c r="S7" s="540">
        <f>'Input-Results'!J6</f>
        <v>0.36</v>
      </c>
      <c r="T7" s="541"/>
      <c r="U7" s="541"/>
      <c r="V7" s="541"/>
      <c r="W7" s="541"/>
      <c r="X7" s="543">
        <v>1</v>
      </c>
      <c r="Y7" s="542">
        <f>'HE2'!I20</f>
        <v>341.31963464747065</v>
      </c>
    </row>
    <row r="8" spans="17:25" x14ac:dyDescent="0.2">
      <c r="Q8" s="539">
        <v>6</v>
      </c>
      <c r="R8" s="540">
        <f>'Input-Results'!F5</f>
        <v>1</v>
      </c>
      <c r="S8" s="540">
        <f>'Input-Results'!J6</f>
        <v>0.36</v>
      </c>
      <c r="T8" s="541"/>
      <c r="U8" s="541"/>
      <c r="V8" s="541"/>
      <c r="W8" s="541"/>
      <c r="X8" s="543">
        <v>1</v>
      </c>
      <c r="Y8" s="542">
        <f>'HE4'!I20</f>
        <v>158.79924766801778</v>
      </c>
    </row>
    <row r="9" spans="17:25" x14ac:dyDescent="0.2">
      <c r="Q9" s="539">
        <v>7</v>
      </c>
      <c r="R9" s="541"/>
      <c r="S9" s="541"/>
      <c r="T9" s="540">
        <f>'Input-Results'!H7</f>
        <v>0.88</v>
      </c>
      <c r="U9" s="541"/>
      <c r="V9" s="541"/>
      <c r="W9" s="541"/>
      <c r="X9" s="543">
        <f>'Input-Results'!D23</f>
        <v>27.96</v>
      </c>
      <c r="Y9" s="542">
        <f>Condensers!D16</f>
        <v>21</v>
      </c>
    </row>
    <row r="10" spans="17:25" x14ac:dyDescent="0.2">
      <c r="Q10" s="539">
        <v>8</v>
      </c>
      <c r="R10" s="541"/>
      <c r="S10" s="541"/>
      <c r="T10" s="540">
        <f>'Input-Results'!H7</f>
        <v>0.88</v>
      </c>
      <c r="U10" s="541"/>
      <c r="V10" s="541"/>
      <c r="W10" s="541"/>
      <c r="X10" s="543">
        <f>'Input-Results'!D23</f>
        <v>27.96</v>
      </c>
      <c r="Y10" s="542">
        <f>'CON2'!H30</f>
        <v>113.16915092315458</v>
      </c>
    </row>
    <row r="11" spans="17:25" x14ac:dyDescent="0.2">
      <c r="Q11" s="539">
        <v>9</v>
      </c>
      <c r="R11" s="541"/>
      <c r="S11" s="541"/>
      <c r="T11" s="540">
        <f>'Input-Results'!H7</f>
        <v>0.88</v>
      </c>
      <c r="U11" s="541"/>
      <c r="V11" s="541"/>
      <c r="W11" s="541"/>
      <c r="X11" s="543">
        <f>'Input-Results'!D23</f>
        <v>27.96</v>
      </c>
      <c r="Y11" s="542">
        <f>'HE4'!E20</f>
        <v>229.11693733301706</v>
      </c>
    </row>
    <row r="12" spans="17:25" x14ac:dyDescent="0.2">
      <c r="Q12" s="539">
        <v>10</v>
      </c>
      <c r="R12" s="541"/>
      <c r="S12" s="541"/>
      <c r="T12" s="540">
        <f>'Input-Results'!H7</f>
        <v>0.88</v>
      </c>
      <c r="U12" s="541"/>
      <c r="V12" s="541"/>
      <c r="W12" s="541"/>
      <c r="X12" s="543">
        <f>'Input-Results'!D23</f>
        <v>27.96</v>
      </c>
      <c r="Y12" s="542">
        <f>'Input-Results'!D22</f>
        <v>230</v>
      </c>
    </row>
    <row r="13" spans="17:25" x14ac:dyDescent="0.2">
      <c r="Q13" s="539">
        <v>11</v>
      </c>
      <c r="R13" s="541"/>
      <c r="S13" s="541"/>
      <c r="T13" s="540">
        <f>'Input-Results'!H7</f>
        <v>0.88</v>
      </c>
      <c r="U13" s="541"/>
      <c r="V13" s="541"/>
      <c r="W13" s="541"/>
      <c r="X13" s="543">
        <f>'Input-Results'!D23</f>
        <v>27.96</v>
      </c>
      <c r="Y13" s="542">
        <f>'Input-Results'!D24</f>
        <v>235</v>
      </c>
    </row>
    <row r="14" spans="17:25" x14ac:dyDescent="0.2">
      <c r="Q14" s="539">
        <v>12</v>
      </c>
      <c r="R14" s="541"/>
      <c r="S14" s="541"/>
      <c r="T14" s="540">
        <f>'Input-Results'!H7+'Input-Results'!I7</f>
        <v>0.90159999999999996</v>
      </c>
      <c r="U14" s="540">
        <f>'Input-Results'!I8</f>
        <v>9.7799999999999984E-2</v>
      </c>
      <c r="V14" s="541"/>
      <c r="W14" s="541"/>
      <c r="X14" s="543">
        <v>1</v>
      </c>
      <c r="Y14" s="542">
        <f>'V1'!C23</f>
        <v>169.34751234418246</v>
      </c>
    </row>
    <row r="15" spans="17:25" x14ac:dyDescent="0.2">
      <c r="Q15" s="539">
        <v>13</v>
      </c>
      <c r="R15" s="541"/>
      <c r="S15" s="541"/>
      <c r="T15" s="540">
        <f>'Input-Results'!H7+'Input-Results'!I7</f>
        <v>0.90159999999999996</v>
      </c>
      <c r="U15" s="540">
        <f>'Input-Results'!I8</f>
        <v>9.7799999999999984E-2</v>
      </c>
      <c r="V15" s="541"/>
      <c r="W15" s="541"/>
      <c r="X15" s="543">
        <v>1</v>
      </c>
      <c r="Y15" s="542">
        <f>'HE2'!E20</f>
        <v>682.3685090572601</v>
      </c>
    </row>
    <row r="16" spans="17:25" x14ac:dyDescent="0.2">
      <c r="Q16" s="539">
        <v>14</v>
      </c>
      <c r="R16" s="541"/>
      <c r="S16" s="541"/>
      <c r="T16" s="540">
        <f>'Input-Results'!H7+'Input-Results'!I7</f>
        <v>0.90159999999999996</v>
      </c>
      <c r="U16" s="540">
        <f>'Input-Results'!I8</f>
        <v>9.7799999999999984E-2</v>
      </c>
      <c r="V16" s="540"/>
      <c r="W16" s="541"/>
      <c r="X16" s="541">
        <v>1</v>
      </c>
      <c r="Y16" s="542">
        <f>'Input-Results'!D21</f>
        <v>725</v>
      </c>
    </row>
    <row r="17" spans="17:25" x14ac:dyDescent="0.2">
      <c r="Q17" s="539">
        <v>15</v>
      </c>
      <c r="R17" s="541"/>
      <c r="S17" s="541"/>
      <c r="T17" s="540">
        <f>'Input-Results'!G7</f>
        <v>0.18</v>
      </c>
      <c r="U17" s="540">
        <f>'Input-Results'!G8</f>
        <v>0.81499999999999995</v>
      </c>
      <c r="V17" s="540"/>
      <c r="W17" s="541"/>
      <c r="X17" s="541">
        <v>1</v>
      </c>
      <c r="Y17" s="542">
        <f>'Input-Results'!D21</f>
        <v>725</v>
      </c>
    </row>
    <row r="18" spans="17:25" x14ac:dyDescent="0.2">
      <c r="Q18" s="539">
        <v>16</v>
      </c>
      <c r="R18" s="541"/>
      <c r="S18" s="541"/>
      <c r="T18" s="540">
        <f>'Input-Results'!G7</f>
        <v>0.18</v>
      </c>
      <c r="U18" s="540">
        <f>'Input-Results'!G8</f>
        <v>0.81499999999999995</v>
      </c>
      <c r="V18" s="540"/>
      <c r="W18" s="541"/>
      <c r="X18" s="541">
        <v>1</v>
      </c>
      <c r="Y18" s="542">
        <f>'HE1'!I20</f>
        <v>145.64049091688548</v>
      </c>
    </row>
    <row r="19" spans="17:25" x14ac:dyDescent="0.2">
      <c r="Q19" s="539">
        <v>17</v>
      </c>
      <c r="R19" s="541"/>
      <c r="S19" s="541"/>
      <c r="T19" s="540">
        <f>'Input-Results'!I7</f>
        <v>2.1599999999999998E-2</v>
      </c>
      <c r="U19" s="540">
        <f>'Input-Results'!I8</f>
        <v>9.7799999999999984E-2</v>
      </c>
      <c r="V19" s="540"/>
      <c r="W19" s="541"/>
      <c r="X19" s="541">
        <v>1</v>
      </c>
      <c r="Y19" s="542">
        <f>'HE1'!I20</f>
        <v>145.64049091688548</v>
      </c>
    </row>
    <row r="20" spans="17:25" x14ac:dyDescent="0.2">
      <c r="Q20" s="539">
        <v>18</v>
      </c>
      <c r="R20" s="541"/>
      <c r="S20" s="541"/>
      <c r="T20" s="540">
        <f>'Input-Results'!I7</f>
        <v>2.1599999999999998E-2</v>
      </c>
      <c r="U20" s="540">
        <f>'Input-Results'!I8</f>
        <v>9.7799999999999984E-2</v>
      </c>
      <c r="V20" s="540"/>
      <c r="W20" s="541"/>
      <c r="X20" s="541">
        <v>1</v>
      </c>
      <c r="Y20" s="542">
        <f>'V1'!G9</f>
        <v>147.39889791965879</v>
      </c>
    </row>
    <row r="21" spans="17:25" x14ac:dyDescent="0.2">
      <c r="Q21" s="539">
        <v>19</v>
      </c>
      <c r="R21" s="541"/>
      <c r="S21" s="541"/>
      <c r="T21" s="540">
        <f>'Input-Results'!K7</f>
        <v>1.2E-2</v>
      </c>
      <c r="U21" s="540">
        <f>'Input-Results'!K8</f>
        <v>0.71719999999999995</v>
      </c>
      <c r="V21" s="540"/>
      <c r="W21" s="541"/>
      <c r="X21" s="541">
        <v>1</v>
      </c>
      <c r="Y21" s="542">
        <f>'CON1.2'!H30</f>
        <v>58.241497101406814</v>
      </c>
    </row>
    <row r="22" spans="17:25" x14ac:dyDescent="0.2">
      <c r="Q22" s="539">
        <v>21</v>
      </c>
      <c r="R22" s="541"/>
      <c r="S22" s="541"/>
      <c r="T22" s="540">
        <f>'Input-Results'!K7</f>
        <v>1.2E-2</v>
      </c>
      <c r="U22" s="540">
        <f>'Input-Results'!K8</f>
        <v>0.71719999999999995</v>
      </c>
      <c r="V22" s="540"/>
      <c r="W22" s="541"/>
      <c r="X22" s="541">
        <v>1</v>
      </c>
      <c r="Y22" s="542">
        <f>'V2'!G9</f>
        <v>242.61779872213117</v>
      </c>
    </row>
    <row r="23" spans="17:25" x14ac:dyDescent="0.2">
      <c r="Q23" s="544" t="s">
        <v>461</v>
      </c>
      <c r="R23" s="541"/>
      <c r="S23" s="541"/>
      <c r="T23" s="714"/>
      <c r="U23" s="540"/>
      <c r="V23" s="540">
        <f>'Input-Results'!K9</f>
        <v>0.18</v>
      </c>
      <c r="W23" s="541"/>
      <c r="X23" s="541">
        <f>'Input-Results'!D20</f>
        <v>60</v>
      </c>
      <c r="Y23" s="542">
        <f>'Input-Results'!D19</f>
        <v>22</v>
      </c>
    </row>
    <row r="24" spans="17:25" x14ac:dyDescent="0.2">
      <c r="Q24" s="544" t="s">
        <v>462</v>
      </c>
      <c r="R24" s="541"/>
      <c r="S24" s="541"/>
      <c r="U24" s="541"/>
      <c r="V24" s="540">
        <f>'Input-Results'!K9</f>
        <v>0.18</v>
      </c>
      <c r="W24" s="541"/>
      <c r="X24" s="541">
        <f>'Input-Results'!D20</f>
        <v>60</v>
      </c>
      <c r="Y24" s="542">
        <f>'HE6'!E20</f>
        <v>358.8</v>
      </c>
    </row>
    <row r="25" spans="17:25" x14ac:dyDescent="0.2">
      <c r="Q25" s="539">
        <v>23</v>
      </c>
      <c r="R25" s="541"/>
      <c r="S25" s="541"/>
      <c r="T25" s="540">
        <f>'Input-Results'!K7</f>
        <v>1.2E-2</v>
      </c>
      <c r="U25" s="540">
        <f>'Input-Results'!K8</f>
        <v>0.71719999999999995</v>
      </c>
      <c r="V25" s="540">
        <f>'Input-Results'!K9</f>
        <v>0.18</v>
      </c>
      <c r="W25" s="541"/>
      <c r="X25" s="541">
        <f>'Input-Results'!T12</f>
        <v>4.8</v>
      </c>
      <c r="Y25" s="542">
        <f>'V2'!C23</f>
        <v>201.72943261582441</v>
      </c>
    </row>
    <row r="26" spans="17:25" x14ac:dyDescent="0.2">
      <c r="Q26" s="539">
        <v>24</v>
      </c>
      <c r="R26" s="541"/>
      <c r="S26" s="541"/>
      <c r="T26" s="540">
        <f>'Input-Results'!K7</f>
        <v>1.2E-2</v>
      </c>
      <c r="U26" s="540">
        <f>'Input-Results'!K8</f>
        <v>0.71719999999999995</v>
      </c>
      <c r="V26" s="540">
        <f>'Input-Results'!K9</f>
        <v>0.18</v>
      </c>
      <c r="W26" s="541"/>
      <c r="X26" s="541">
        <f>'Input-Results'!T12</f>
        <v>4.8</v>
      </c>
      <c r="Y26" s="542">
        <f>'HE3'!E20</f>
        <v>219.0063578357277</v>
      </c>
    </row>
    <row r="27" spans="17:25" x14ac:dyDescent="0.2">
      <c r="Q27" s="539">
        <v>25</v>
      </c>
      <c r="R27" s="541"/>
      <c r="S27" s="541"/>
      <c r="T27" s="540">
        <f>'Input-Results'!K7</f>
        <v>1.2E-2</v>
      </c>
      <c r="U27" s="540">
        <f>'Input-Results'!K8</f>
        <v>0.71719999999999995</v>
      </c>
      <c r="V27" s="540">
        <f>'Input-Results'!K9</f>
        <v>0.18</v>
      </c>
      <c r="W27" s="541"/>
      <c r="X27" s="541">
        <f>'Input-Results'!T12</f>
        <v>4.8</v>
      </c>
      <c r="Y27" s="542">
        <f>'Input-Results'!D27</f>
        <v>230</v>
      </c>
    </row>
    <row r="28" spans="17:25" x14ac:dyDescent="0.2">
      <c r="Q28" s="539">
        <v>26</v>
      </c>
      <c r="R28" s="541"/>
      <c r="S28" s="541"/>
      <c r="T28" s="541">
        <f>'Input-Results'!L7</f>
        <v>0.32</v>
      </c>
      <c r="U28" s="541">
        <f>'Input-Results'!L8</f>
        <v>9.6000000000000002E-2</v>
      </c>
      <c r="V28" s="541">
        <f>'Input-Results'!L9</f>
        <v>2.4E-2</v>
      </c>
      <c r="W28" s="541">
        <f>'Input-Results'!L10</f>
        <v>0.155</v>
      </c>
      <c r="X28" s="541">
        <f>'Input-Results'!U12</f>
        <v>3</v>
      </c>
      <c r="Y28" s="542">
        <f>'Input-Results'!D29</f>
        <v>230</v>
      </c>
    </row>
    <row r="29" spans="17:25" x14ac:dyDescent="0.2">
      <c r="Q29" s="539">
        <v>27</v>
      </c>
      <c r="R29" s="541"/>
      <c r="S29" s="541"/>
      <c r="T29" s="541">
        <f>'Input-Results'!L7</f>
        <v>0.32</v>
      </c>
      <c r="U29" s="541">
        <f>'Input-Results'!L8</f>
        <v>9.6000000000000002E-2</v>
      </c>
      <c r="V29" s="541">
        <f>'Input-Results'!L9</f>
        <v>2.4E-2</v>
      </c>
      <c r="W29" s="541">
        <f>'Input-Results'!L10</f>
        <v>0.155</v>
      </c>
      <c r="X29" s="541">
        <f>'Input-Results'!U12</f>
        <v>3</v>
      </c>
      <c r="Y29" s="542">
        <f>'HE3'!I20</f>
        <v>207.38354609265951</v>
      </c>
    </row>
    <row r="30" spans="17:25" x14ac:dyDescent="0.2">
      <c r="Q30" s="539">
        <v>28</v>
      </c>
      <c r="R30" s="541"/>
      <c r="S30" s="541"/>
      <c r="T30" s="540">
        <f>'CON3'!I6/'Input-Results'!D7</f>
        <v>0.23136000000000001</v>
      </c>
      <c r="U30" s="541">
        <f>'Input-Results'!L8</f>
        <v>9.6000000000000002E-2</v>
      </c>
      <c r="V30" s="541">
        <f>'Input-Results'!L9</f>
        <v>2.4E-2</v>
      </c>
      <c r="W30" s="541">
        <f>'Input-Results'!L10</f>
        <v>0.155</v>
      </c>
      <c r="X30" s="541">
        <f>'Input-Results'!U12</f>
        <v>3</v>
      </c>
      <c r="Y30" s="542">
        <f>'CON3'!I14</f>
        <v>113.16915092315458</v>
      </c>
    </row>
    <row r="31" spans="17:25" x14ac:dyDescent="0.2">
      <c r="Q31" s="539">
        <v>29</v>
      </c>
      <c r="R31" s="541"/>
      <c r="S31" s="541"/>
      <c r="T31" s="540">
        <f>'Input-Results'!M7</f>
        <v>1.2000000000000009E-2</v>
      </c>
      <c r="U31" s="541">
        <f>'Input-Results'!L8</f>
        <v>9.6000000000000002E-2</v>
      </c>
      <c r="V31" s="541">
        <f>'Input-Results'!L9</f>
        <v>2.4E-2</v>
      </c>
      <c r="W31" s="541">
        <f>'Input-Results'!L10</f>
        <v>0.155</v>
      </c>
      <c r="X31" s="541">
        <f>'Input-Results'!V12</f>
        <v>3</v>
      </c>
      <c r="Y31" s="542">
        <f>'CON3'!H30</f>
        <v>108.35024430210245</v>
      </c>
    </row>
    <row r="32" spans="17:25" x14ac:dyDescent="0.2">
      <c r="Q32" s="539">
        <v>30</v>
      </c>
      <c r="R32" s="541"/>
      <c r="S32" s="541"/>
      <c r="T32" s="540">
        <f>'Input-Results'!M7</f>
        <v>1.2000000000000009E-2</v>
      </c>
      <c r="U32" s="541">
        <f>'Input-Results'!L8</f>
        <v>9.6000000000000002E-2</v>
      </c>
      <c r="V32" s="541">
        <f>'Input-Results'!L9</f>
        <v>2.4E-2</v>
      </c>
      <c r="W32" s="541">
        <f>'Input-Results'!L10</f>
        <v>0.155</v>
      </c>
      <c r="X32" s="541">
        <f>'Input-Results'!V12</f>
        <v>3</v>
      </c>
      <c r="Y32" s="542">
        <f>'HE5'!I20</f>
        <v>147.394793844221</v>
      </c>
    </row>
    <row r="33" spans="17:25" x14ac:dyDescent="0.2">
      <c r="Q33" s="539">
        <v>31</v>
      </c>
      <c r="R33" s="541"/>
      <c r="S33" s="541"/>
      <c r="T33" s="540">
        <f>'Input-Results'!M7</f>
        <v>1.2000000000000009E-2</v>
      </c>
      <c r="U33" s="541">
        <f>'Input-Results'!L8</f>
        <v>9.6000000000000002E-2</v>
      </c>
      <c r="V33" s="541">
        <f>'Input-Results'!L9</f>
        <v>2.4E-2</v>
      </c>
      <c r="W33" s="541">
        <f>'Input-Results'!L10</f>
        <v>0.155</v>
      </c>
      <c r="X33" s="541">
        <f>'Input-Results'!V12</f>
        <v>3</v>
      </c>
      <c r="Y33" s="542">
        <f>'Input-Results'!D27</f>
        <v>230</v>
      </c>
    </row>
    <row r="34" spans="17:25" x14ac:dyDescent="0.2">
      <c r="Q34" s="544" t="s">
        <v>463</v>
      </c>
      <c r="R34" s="541"/>
      <c r="S34" s="541"/>
      <c r="T34" s="540">
        <f>'Input-Results'!N7</f>
        <v>0.06</v>
      </c>
      <c r="U34" s="541"/>
      <c r="V34" s="541"/>
      <c r="W34" s="540">
        <f>'Input-Results'!N10</f>
        <v>0.18</v>
      </c>
      <c r="X34" s="541">
        <f>'Input-Results'!W12</f>
        <v>2.5</v>
      </c>
      <c r="Y34" s="542">
        <f>'Input-Results'!D30</f>
        <v>443</v>
      </c>
    </row>
    <row r="35" spans="17:25" x14ac:dyDescent="0.2">
      <c r="Q35" s="544" t="s">
        <v>464</v>
      </c>
      <c r="R35" s="541"/>
      <c r="S35" s="541"/>
      <c r="T35" s="540">
        <f>'Input-Results'!N7</f>
        <v>0.06</v>
      </c>
      <c r="U35" s="541"/>
      <c r="V35" s="541"/>
      <c r="W35" s="540">
        <f>'Input-Results'!N10</f>
        <v>0.18</v>
      </c>
      <c r="X35" s="541">
        <f>'Input-Results'!W12</f>
        <v>2.5</v>
      </c>
      <c r="Y35" s="542">
        <f>'HE6'!I20</f>
        <v>267.93292412887394</v>
      </c>
    </row>
    <row r="36" spans="17:25" x14ac:dyDescent="0.2">
      <c r="Q36" s="539">
        <v>33</v>
      </c>
      <c r="R36" s="541"/>
      <c r="S36" s="541"/>
      <c r="T36" s="540">
        <f>'Input-Results'!N7</f>
        <v>0.06</v>
      </c>
      <c r="U36" s="541"/>
      <c r="V36" s="541"/>
      <c r="W36" s="540">
        <f>'Input-Results'!N10</f>
        <v>0.18</v>
      </c>
      <c r="X36" s="541">
        <f>'Input-Results'!W12</f>
        <v>2.5</v>
      </c>
      <c r="Y36" s="542">
        <f>'HE5'!I20</f>
        <v>147.394793844221</v>
      </c>
    </row>
    <row r="37" spans="17:25" ht="16" thickBot="1" x14ac:dyDescent="0.25">
      <c r="Q37" s="545">
        <v>34</v>
      </c>
      <c r="R37" s="546"/>
      <c r="S37" s="546"/>
      <c r="T37" s="547">
        <f>'CON4'!P37</f>
        <v>4.9999999999999966E-3</v>
      </c>
      <c r="U37" s="546"/>
      <c r="V37" s="546"/>
      <c r="W37" s="548">
        <f>'Input-Results'!N10</f>
        <v>0.18</v>
      </c>
      <c r="X37" s="546">
        <f>'Input-Results'!W12</f>
        <v>2.5</v>
      </c>
      <c r="Y37" s="549">
        <f>'CON4'!H30</f>
        <v>91.62256349076462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28">
    <pageSetUpPr fitToPage="1"/>
  </sheetPr>
  <dimension ref="B2:K48"/>
  <sheetViews>
    <sheetView zoomScale="90" zoomScaleNormal="90" workbookViewId="0">
      <selection activeCell="B51" sqref="B51"/>
    </sheetView>
  </sheetViews>
  <sheetFormatPr baseColWidth="10" defaultColWidth="8.83203125" defaultRowHeight="15" x14ac:dyDescent="0.2"/>
  <cols>
    <col min="2" max="2" width="35.5" customWidth="1"/>
    <col min="3" max="3" width="9.1640625" bestFit="1" customWidth="1"/>
    <col min="6" max="6" width="28.33203125" customWidth="1"/>
    <col min="7" max="7" width="11.5" customWidth="1"/>
    <col min="8" max="8" width="9.5" bestFit="1" customWidth="1"/>
    <col min="11" max="11" width="17" bestFit="1" customWidth="1"/>
  </cols>
  <sheetData>
    <row r="2" spans="2:8" ht="19" x14ac:dyDescent="0.25">
      <c r="B2" s="92" t="s">
        <v>515</v>
      </c>
    </row>
    <row r="3" spans="2:8" ht="10.75" customHeight="1" thickBot="1" x14ac:dyDescent="0.25"/>
    <row r="4" spans="2:8" s="92" customFormat="1" ht="19" x14ac:dyDescent="0.25">
      <c r="B4" s="849" t="s">
        <v>251</v>
      </c>
      <c r="C4" s="850"/>
      <c r="D4" s="851"/>
      <c r="E4" s="611"/>
      <c r="F4" s="849" t="s">
        <v>292</v>
      </c>
      <c r="G4" s="850"/>
      <c r="H4" s="851"/>
    </row>
    <row r="5" spans="2:8" ht="15" customHeight="1" thickBot="1" x14ac:dyDescent="0.25">
      <c r="B5" s="852"/>
      <c r="C5" s="853"/>
      <c r="D5" s="854"/>
      <c r="E5" s="611"/>
      <c r="F5" s="852"/>
      <c r="G5" s="853"/>
      <c r="H5" s="854"/>
    </row>
    <row r="6" spans="2:8" x14ac:dyDescent="0.2">
      <c r="B6" s="415" t="s">
        <v>510</v>
      </c>
      <c r="C6" s="461">
        <f>'Input-Results'!D24</f>
        <v>235</v>
      </c>
      <c r="D6" s="458" t="s">
        <v>7</v>
      </c>
      <c r="F6" s="415" t="s">
        <v>513</v>
      </c>
      <c r="G6" s="486">
        <f>'Input-Results'!R12</f>
        <v>1.0149999999999999</v>
      </c>
      <c r="H6" s="487" t="s">
        <v>177</v>
      </c>
    </row>
    <row r="7" spans="2:8" x14ac:dyDescent="0.2">
      <c r="B7" s="416" t="s">
        <v>511</v>
      </c>
      <c r="C7" s="414">
        <f>'Input-Results'!D23</f>
        <v>27.96</v>
      </c>
      <c r="D7" s="459" t="s">
        <v>177</v>
      </c>
      <c r="F7" s="416" t="s">
        <v>514</v>
      </c>
      <c r="G7" s="414">
        <f>'HE1'!I20</f>
        <v>145.64049091688548</v>
      </c>
      <c r="H7" s="418" t="s">
        <v>7</v>
      </c>
    </row>
    <row r="8" spans="2:8" x14ac:dyDescent="0.2">
      <c r="B8" s="416" t="s">
        <v>393</v>
      </c>
      <c r="C8" s="462">
        <f>D47</f>
        <v>2819.9</v>
      </c>
      <c r="D8" s="459" t="s">
        <v>255</v>
      </c>
      <c r="F8" s="416" t="s">
        <v>214</v>
      </c>
      <c r="G8" s="54">
        <v>1.4</v>
      </c>
      <c r="H8" s="418"/>
    </row>
    <row r="9" spans="2:8" ht="16" thickBot="1" x14ac:dyDescent="0.25">
      <c r="B9" s="419" t="s">
        <v>274</v>
      </c>
      <c r="C9" s="463">
        <f>J47</f>
        <v>171.93877551020415</v>
      </c>
      <c r="D9" s="460" t="s">
        <v>7</v>
      </c>
      <c r="F9" s="417" t="s">
        <v>215</v>
      </c>
      <c r="G9" s="603">
        <f>((((G6^(1-G8))*((G7+273)^G8))/(C22^(1-G8)))^(1/G8))-273</f>
        <v>147.39889791965879</v>
      </c>
      <c r="H9" s="604" t="s">
        <v>7</v>
      </c>
    </row>
    <row r="10" spans="2:8" x14ac:dyDescent="0.2">
      <c r="B10" s="411" t="s">
        <v>293</v>
      </c>
      <c r="C10" s="488">
        <f>'Input-Results'!Q7</f>
        <v>15.853446400000001</v>
      </c>
      <c r="D10" s="490" t="s">
        <v>2</v>
      </c>
      <c r="F10" s="605" t="s">
        <v>293</v>
      </c>
      <c r="G10" s="610">
        <f>'Input-Results'!R7</f>
        <v>0.38913004799999995</v>
      </c>
      <c r="H10" s="606" t="s">
        <v>2</v>
      </c>
    </row>
    <row r="11" spans="2:8" x14ac:dyDescent="0.2">
      <c r="B11" s="411"/>
      <c r="C11" s="410"/>
      <c r="D11" s="412"/>
      <c r="F11" s="411" t="s">
        <v>65</v>
      </c>
      <c r="G11" s="488">
        <f>'Input-Results'!R8</f>
        <v>0.19715306399999999</v>
      </c>
      <c r="H11" s="412" t="s">
        <v>2</v>
      </c>
    </row>
    <row r="12" spans="2:8" x14ac:dyDescent="0.2">
      <c r="B12" s="411"/>
      <c r="C12" s="410"/>
      <c r="D12" s="412"/>
      <c r="F12" s="411"/>
      <c r="G12" s="488"/>
      <c r="H12" s="412"/>
    </row>
    <row r="13" spans="2:8" ht="16" thickBot="1" x14ac:dyDescent="0.25">
      <c r="B13" s="607"/>
      <c r="C13" s="609"/>
      <c r="D13" s="413"/>
      <c r="F13" s="607"/>
      <c r="G13" s="608"/>
      <c r="H13" s="413"/>
    </row>
    <row r="14" spans="2:8" x14ac:dyDescent="0.2">
      <c r="B14" s="411" t="s">
        <v>4</v>
      </c>
      <c r="C14" s="489">
        <f>'Interpolation 2'!X4</f>
        <v>1923.4693877551022</v>
      </c>
      <c r="D14" s="412" t="s">
        <v>0</v>
      </c>
      <c r="F14" s="411" t="s">
        <v>4</v>
      </c>
      <c r="G14" s="489">
        <f>'Interpolation 3'!FN9</f>
        <v>6140.5319519456762</v>
      </c>
      <c r="H14" s="412" t="s">
        <v>0</v>
      </c>
    </row>
    <row r="15" spans="2:8" ht="16" thickBot="1" x14ac:dyDescent="0.25">
      <c r="B15" s="411"/>
      <c r="C15" s="410"/>
      <c r="D15" s="412"/>
      <c r="F15" s="411"/>
      <c r="G15" s="410"/>
      <c r="H15" s="412"/>
    </row>
    <row r="16" spans="2:8" ht="16" thickBot="1" x14ac:dyDescent="0.25">
      <c r="B16" s="483" t="s">
        <v>296</v>
      </c>
      <c r="C16" s="484">
        <f>C14*C10/1000/60</f>
        <v>0.50822698068027217</v>
      </c>
      <c r="D16" s="485" t="s">
        <v>297</v>
      </c>
      <c r="F16" s="483" t="s">
        <v>296</v>
      </c>
      <c r="G16" s="484">
        <f>(SUM(G10:G13)/1000/60)*G14</f>
        <v>6.000150303536908E-2</v>
      </c>
      <c r="H16" s="485" t="s">
        <v>297</v>
      </c>
    </row>
    <row r="17" spans="2:11" x14ac:dyDescent="0.2">
      <c r="B17" s="5"/>
      <c r="C17" s="389"/>
      <c r="D17" s="5"/>
      <c r="E17" s="125"/>
      <c r="F17" s="5"/>
      <c r="G17" s="389"/>
      <c r="H17" s="5"/>
    </row>
    <row r="18" spans="2:11" x14ac:dyDescent="0.2">
      <c r="B18" s="5"/>
      <c r="C18" s="389"/>
      <c r="D18" s="5"/>
      <c r="E18" s="125"/>
      <c r="F18" s="5"/>
      <c r="G18" s="389"/>
      <c r="H18" s="5"/>
    </row>
    <row r="19" spans="2:11" x14ac:dyDescent="0.2">
      <c r="B19" s="125"/>
      <c r="C19" s="125"/>
      <c r="D19" s="125"/>
      <c r="E19" s="125"/>
      <c r="F19" s="125"/>
      <c r="G19" s="5"/>
      <c r="H19" s="125"/>
      <c r="I19" s="125"/>
    </row>
    <row r="20" spans="2:11" ht="22.75" customHeight="1" thickBot="1" x14ac:dyDescent="0.25">
      <c r="B20" s="125"/>
      <c r="C20" s="125"/>
      <c r="D20" s="125"/>
      <c r="E20" s="125"/>
      <c r="F20" s="125"/>
      <c r="G20" s="5"/>
      <c r="H20" s="125"/>
      <c r="I20" s="125"/>
    </row>
    <row r="21" spans="2:11" ht="28.75" customHeight="1" thickBot="1" x14ac:dyDescent="0.25">
      <c r="B21" s="849" t="s">
        <v>39</v>
      </c>
      <c r="C21" s="850"/>
      <c r="D21" s="851"/>
      <c r="G21" s="5"/>
      <c r="H21" s="125"/>
      <c r="I21" s="125"/>
    </row>
    <row r="22" spans="2:11" s="342" customFormat="1" ht="15" customHeight="1" x14ac:dyDescent="0.2">
      <c r="B22" s="415" t="s">
        <v>512</v>
      </c>
      <c r="C22" s="711">
        <f>'Input-Results'!Q12</f>
        <v>1.03</v>
      </c>
      <c r="D22" s="712" t="s">
        <v>177</v>
      </c>
      <c r="G22" s="709"/>
      <c r="H22" s="341"/>
      <c r="I22" s="341"/>
    </row>
    <row r="23" spans="2:11" ht="16" thickBot="1" x14ac:dyDescent="0.25">
      <c r="B23" s="419" t="s">
        <v>509</v>
      </c>
      <c r="C23" s="710">
        <f>((C16*(C9+273)+G16*(G9+273))/(C16+G16))-273</f>
        <v>169.34751234418246</v>
      </c>
      <c r="D23" s="696" t="s">
        <v>7</v>
      </c>
      <c r="G23" s="5"/>
      <c r="H23" s="125"/>
      <c r="I23" s="125"/>
    </row>
    <row r="24" spans="2:11" x14ac:dyDescent="0.2">
      <c r="B24" s="5"/>
      <c r="C24" s="168"/>
      <c r="D24" s="5"/>
      <c r="G24" s="5"/>
      <c r="H24" s="125"/>
      <c r="I24" s="125"/>
    </row>
    <row r="26" spans="2:11" ht="19" x14ac:dyDescent="0.25">
      <c r="B26" s="69" t="s">
        <v>507</v>
      </c>
    </row>
    <row r="27" spans="2:11" ht="16" thickBot="1" x14ac:dyDescent="0.25"/>
    <row r="28" spans="2:11" x14ac:dyDescent="0.2">
      <c r="B28" s="508" t="s">
        <v>508</v>
      </c>
      <c r="C28" s="285"/>
      <c r="D28" s="285"/>
      <c r="E28" s="285"/>
      <c r="F28" s="505"/>
      <c r="G28" s="285"/>
      <c r="H28" s="285"/>
      <c r="I28" s="285"/>
      <c r="J28" s="285"/>
      <c r="K28" s="286"/>
    </row>
    <row r="29" spans="2:11" ht="16" thickBot="1" x14ac:dyDescent="0.25">
      <c r="B29" s="287"/>
      <c r="C29" s="106"/>
      <c r="D29" s="106"/>
      <c r="E29" s="106"/>
      <c r="F29" s="106"/>
      <c r="G29" s="106"/>
      <c r="H29" s="106"/>
      <c r="I29" s="106"/>
      <c r="J29" s="106"/>
      <c r="K29" s="790"/>
    </row>
    <row r="30" spans="2:11" x14ac:dyDescent="0.2">
      <c r="B30" s="284" t="s">
        <v>410</v>
      </c>
      <c r="C30" s="285"/>
      <c r="D30" s="285"/>
      <c r="E30" s="286"/>
      <c r="F30" s="284" t="s">
        <v>299</v>
      </c>
      <c r="G30" s="285"/>
      <c r="H30" s="285"/>
      <c r="I30" s="285"/>
      <c r="J30" s="285"/>
      <c r="K30" s="286"/>
    </row>
    <row r="31" spans="2:11" x14ac:dyDescent="0.2">
      <c r="B31" s="63"/>
      <c r="C31" s="53"/>
      <c r="D31" s="53"/>
      <c r="E31" s="122"/>
      <c r="F31" s="63"/>
      <c r="G31" s="53"/>
      <c r="H31" s="53"/>
      <c r="I31" s="53"/>
      <c r="J31" s="53"/>
      <c r="K31" s="122"/>
    </row>
    <row r="32" spans="2:11" x14ac:dyDescent="0.2">
      <c r="B32" s="63" t="s">
        <v>300</v>
      </c>
      <c r="C32" s="53" t="s">
        <v>301</v>
      </c>
      <c r="D32" s="53"/>
      <c r="E32" s="122"/>
      <c r="F32" s="63" t="s">
        <v>300</v>
      </c>
      <c r="G32" s="53" t="s">
        <v>301</v>
      </c>
      <c r="H32" s="53"/>
      <c r="I32" s="53"/>
      <c r="J32" s="53" t="s">
        <v>300</v>
      </c>
      <c r="K32" s="122"/>
    </row>
    <row r="33" spans="2:11" x14ac:dyDescent="0.2">
      <c r="B33" s="63">
        <v>220</v>
      </c>
      <c r="C33" s="102">
        <v>2763.8</v>
      </c>
      <c r="D33" s="102">
        <f t="shared" ref="D33:D43" si="0">IF(($C$6&gt;=B33)*AND($C$6&lt;B34),(((($C$6-B33)/(B34-B33))*(C34-C33))+C33),0)</f>
        <v>0</v>
      </c>
      <c r="E33" s="122"/>
      <c r="F33" s="63">
        <v>150</v>
      </c>
      <c r="G33" s="53">
        <v>2776.4</v>
      </c>
      <c r="H33" s="53"/>
      <c r="I33" s="53"/>
      <c r="J33" s="102">
        <f t="shared" ref="J33:J44" si="1">IF(($D$47&gt;=G33)*AND($D$47&lt;G34),(((($D$47-G33)/(G34-G33))*(F34-F33))+F33),0)</f>
        <v>0</v>
      </c>
      <c r="K33" s="122"/>
    </row>
    <row r="34" spans="2:11" x14ac:dyDescent="0.2">
      <c r="B34" s="63">
        <v>225</v>
      </c>
      <c r="C34" s="53">
        <v>2784.4</v>
      </c>
      <c r="D34" s="102">
        <f t="shared" si="0"/>
        <v>0</v>
      </c>
      <c r="E34" s="122"/>
      <c r="F34" s="63">
        <v>155</v>
      </c>
      <c r="G34" s="53">
        <v>2786.3</v>
      </c>
      <c r="H34" s="53"/>
      <c r="I34" s="53"/>
      <c r="J34" s="102">
        <f t="shared" si="1"/>
        <v>0</v>
      </c>
      <c r="K34" s="122"/>
    </row>
    <row r="35" spans="2:11" x14ac:dyDescent="0.2">
      <c r="B35" s="63">
        <v>230</v>
      </c>
      <c r="C35" s="53">
        <v>2802.8</v>
      </c>
      <c r="D35" s="102">
        <f t="shared" si="0"/>
        <v>0</v>
      </c>
      <c r="E35" s="122"/>
      <c r="F35" s="63">
        <v>160</v>
      </c>
      <c r="G35" s="102">
        <v>2796.3</v>
      </c>
      <c r="H35" s="53"/>
      <c r="I35" s="53"/>
      <c r="J35" s="102">
        <f t="shared" si="1"/>
        <v>0</v>
      </c>
      <c r="K35" s="122"/>
    </row>
    <row r="36" spans="2:11" x14ac:dyDescent="0.2">
      <c r="B36" s="63">
        <v>235</v>
      </c>
      <c r="C36" s="53">
        <v>2819.9</v>
      </c>
      <c r="D36" s="102">
        <f t="shared" si="0"/>
        <v>2819.9</v>
      </c>
      <c r="E36" s="122"/>
      <c r="F36" s="63">
        <v>165</v>
      </c>
      <c r="G36" s="53">
        <v>2806.2</v>
      </c>
      <c r="H36" s="53"/>
      <c r="I36" s="53"/>
      <c r="J36" s="102">
        <f t="shared" si="1"/>
        <v>0</v>
      </c>
      <c r="K36" s="122"/>
    </row>
    <row r="37" spans="2:11" x14ac:dyDescent="0.2">
      <c r="B37" s="63">
        <v>240</v>
      </c>
      <c r="C37" s="53">
        <v>2836.1</v>
      </c>
      <c r="D37" s="102">
        <f t="shared" si="0"/>
        <v>0</v>
      </c>
      <c r="E37" s="122"/>
      <c r="F37" s="63">
        <v>170</v>
      </c>
      <c r="G37" s="53">
        <v>2816.1</v>
      </c>
      <c r="H37" s="53"/>
      <c r="I37" s="53"/>
      <c r="J37" s="102">
        <f t="shared" si="1"/>
        <v>171.93877551020415</v>
      </c>
      <c r="K37" s="122"/>
    </row>
    <row r="38" spans="2:11" x14ac:dyDescent="0.2">
      <c r="B38" s="63">
        <v>245</v>
      </c>
      <c r="C38" s="53">
        <v>2851.6</v>
      </c>
      <c r="D38" s="102">
        <f t="shared" si="0"/>
        <v>0</v>
      </c>
      <c r="E38" s="122"/>
      <c r="F38" s="63">
        <v>175</v>
      </c>
      <c r="G38" s="53">
        <v>2825.9</v>
      </c>
      <c r="H38" s="53"/>
      <c r="I38" s="53"/>
      <c r="J38" s="102">
        <f t="shared" si="1"/>
        <v>0</v>
      </c>
      <c r="K38" s="122"/>
    </row>
    <row r="39" spans="2:11" x14ac:dyDescent="0.2">
      <c r="B39" s="63">
        <v>250</v>
      </c>
      <c r="C39" s="53">
        <v>2866.5</v>
      </c>
      <c r="D39" s="102">
        <f t="shared" si="0"/>
        <v>0</v>
      </c>
      <c r="E39" s="122"/>
      <c r="F39" s="63">
        <v>180</v>
      </c>
      <c r="G39" s="53">
        <v>2835.8</v>
      </c>
      <c r="H39" s="53"/>
      <c r="I39" s="53"/>
      <c r="J39" s="102">
        <f t="shared" si="1"/>
        <v>0</v>
      </c>
      <c r="K39" s="122"/>
    </row>
    <row r="40" spans="2:11" x14ac:dyDescent="0.2">
      <c r="B40" s="63">
        <v>255</v>
      </c>
      <c r="C40" s="53">
        <v>2881.1</v>
      </c>
      <c r="D40" s="102">
        <f t="shared" si="0"/>
        <v>0</v>
      </c>
      <c r="E40" s="122"/>
      <c r="F40" s="63">
        <v>185</v>
      </c>
      <c r="G40" s="53">
        <v>2845.7</v>
      </c>
      <c r="H40" s="53"/>
      <c r="I40" s="53"/>
      <c r="J40" s="102">
        <f t="shared" si="1"/>
        <v>0</v>
      </c>
      <c r="K40" s="122"/>
    </row>
    <row r="41" spans="2:11" x14ac:dyDescent="0.2">
      <c r="B41" s="63">
        <v>260</v>
      </c>
      <c r="C41" s="53">
        <v>2895.3</v>
      </c>
      <c r="D41" s="102">
        <f t="shared" si="0"/>
        <v>0</v>
      </c>
      <c r="E41" s="122"/>
      <c r="F41" s="63">
        <v>190</v>
      </c>
      <c r="G41" s="53">
        <v>2855.6</v>
      </c>
      <c r="H41" s="53"/>
      <c r="I41" s="53"/>
      <c r="J41" s="102">
        <f t="shared" si="1"/>
        <v>0</v>
      </c>
      <c r="K41" s="122"/>
    </row>
    <row r="42" spans="2:11" x14ac:dyDescent="0.2">
      <c r="B42" s="63">
        <v>265</v>
      </c>
      <c r="C42" s="53">
        <v>2909.2</v>
      </c>
      <c r="D42" s="102">
        <f t="shared" si="0"/>
        <v>0</v>
      </c>
      <c r="E42" s="122"/>
      <c r="F42" s="63">
        <v>195</v>
      </c>
      <c r="G42" s="53">
        <v>2865.5</v>
      </c>
      <c r="H42" s="53"/>
      <c r="I42" s="53"/>
      <c r="J42" s="102">
        <f t="shared" si="1"/>
        <v>0</v>
      </c>
      <c r="K42" s="122"/>
    </row>
    <row r="43" spans="2:11" x14ac:dyDescent="0.2">
      <c r="B43" s="63">
        <v>270</v>
      </c>
      <c r="C43" s="53">
        <v>2922.9</v>
      </c>
      <c r="D43" s="102">
        <f t="shared" si="0"/>
        <v>0</v>
      </c>
      <c r="E43" s="122"/>
      <c r="F43" s="63">
        <v>200</v>
      </c>
      <c r="G43" s="102">
        <v>2875.4</v>
      </c>
      <c r="H43" s="53"/>
      <c r="I43" s="53"/>
      <c r="J43" s="102">
        <f t="shared" si="1"/>
        <v>0</v>
      </c>
      <c r="K43" s="122"/>
    </row>
    <row r="44" spans="2:11" x14ac:dyDescent="0.2">
      <c r="B44" s="63">
        <v>275</v>
      </c>
      <c r="C44" s="53">
        <v>2936.3</v>
      </c>
      <c r="D44" s="102">
        <f>IF(($C$6&gt;=B44)*AND($C$6&lt;B46),(((($C$6-B44)/(B46-B44))*(C46-C44))+C44),0)</f>
        <v>0</v>
      </c>
      <c r="E44" s="122"/>
      <c r="F44" s="63">
        <v>205</v>
      </c>
      <c r="G44" s="53">
        <v>2885.2</v>
      </c>
      <c r="H44" s="53"/>
      <c r="I44" s="53"/>
      <c r="J44" s="102">
        <f t="shared" si="1"/>
        <v>0</v>
      </c>
      <c r="K44" s="122"/>
    </row>
    <row r="45" spans="2:11" x14ac:dyDescent="0.2">
      <c r="B45" s="63"/>
      <c r="C45" s="53"/>
      <c r="D45" s="53"/>
      <c r="E45" s="122"/>
      <c r="F45" s="63"/>
      <c r="G45" s="53"/>
      <c r="H45" s="53"/>
      <c r="I45" s="53"/>
      <c r="J45" s="53"/>
      <c r="K45" s="122"/>
    </row>
    <row r="46" spans="2:11" x14ac:dyDescent="0.2">
      <c r="B46" s="63"/>
      <c r="C46" s="53"/>
      <c r="D46" s="53"/>
      <c r="E46" s="122"/>
      <c r="F46" s="63"/>
      <c r="G46" s="53"/>
      <c r="H46" s="53"/>
      <c r="I46" s="53"/>
      <c r="J46" s="53"/>
      <c r="K46" s="122"/>
    </row>
    <row r="47" spans="2:11" x14ac:dyDescent="0.2">
      <c r="B47" s="63"/>
      <c r="C47" s="53"/>
      <c r="D47" s="53">
        <f>SUM(D33:D44)</f>
        <v>2819.9</v>
      </c>
      <c r="E47" s="122"/>
      <c r="F47" s="63"/>
      <c r="G47" s="53"/>
      <c r="H47" s="33"/>
      <c r="I47" s="53"/>
      <c r="J47" s="102">
        <f>SUM(J33:J45)</f>
        <v>171.93877551020415</v>
      </c>
      <c r="K47" s="122"/>
    </row>
    <row r="48" spans="2:11" ht="16" thickBot="1" x14ac:dyDescent="0.25">
      <c r="B48" s="86"/>
      <c r="C48" s="87"/>
      <c r="D48" s="87"/>
      <c r="E48" s="124"/>
      <c r="F48" s="86"/>
      <c r="G48" s="87"/>
      <c r="H48" s="87"/>
      <c r="I48" s="87"/>
      <c r="J48" s="87"/>
      <c r="K48" s="124"/>
    </row>
  </sheetData>
  <mergeCells count="3">
    <mergeCell ref="B4:D5"/>
    <mergeCell ref="F4:H5"/>
    <mergeCell ref="B21:D2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33"/>
  <dimension ref="B2:H34"/>
  <sheetViews>
    <sheetView zoomScale="90" zoomScaleNormal="90" workbookViewId="0">
      <selection activeCell="G25" sqref="G25"/>
    </sheetView>
  </sheetViews>
  <sheetFormatPr baseColWidth="10" defaultColWidth="8.83203125" defaultRowHeight="15" x14ac:dyDescent="0.2"/>
  <cols>
    <col min="2" max="2" width="35.5" customWidth="1"/>
    <col min="5" max="5" width="9.5" bestFit="1" customWidth="1"/>
    <col min="6" max="6" width="28.33203125" customWidth="1"/>
    <col min="7" max="7" width="11.5" customWidth="1"/>
    <col min="11" max="11" width="19.83203125" bestFit="1" customWidth="1"/>
    <col min="12" max="12" width="10.1640625" customWidth="1"/>
  </cols>
  <sheetData>
    <row r="2" spans="2:8" ht="19" x14ac:dyDescent="0.25">
      <c r="B2" s="92" t="s">
        <v>551</v>
      </c>
    </row>
    <row r="3" spans="2:8" ht="11.5" customHeight="1" thickBot="1" x14ac:dyDescent="0.25"/>
    <row r="4" spans="2:8" x14ac:dyDescent="0.2">
      <c r="B4" s="849" t="s">
        <v>552</v>
      </c>
      <c r="C4" s="850"/>
      <c r="D4" s="851"/>
      <c r="F4" s="849" t="s">
        <v>553</v>
      </c>
      <c r="G4" s="850"/>
      <c r="H4" s="851"/>
    </row>
    <row r="5" spans="2:8" ht="16" thickBot="1" x14ac:dyDescent="0.25">
      <c r="B5" s="852"/>
      <c r="C5" s="853"/>
      <c r="D5" s="854"/>
      <c r="F5" s="852"/>
      <c r="G5" s="853"/>
      <c r="H5" s="854"/>
    </row>
    <row r="6" spans="2:8" x14ac:dyDescent="0.2">
      <c r="B6" s="415" t="s">
        <v>289</v>
      </c>
      <c r="C6" s="486">
        <f>'Input-Results'!D20</f>
        <v>60</v>
      </c>
      <c r="D6" s="487" t="s">
        <v>177</v>
      </c>
      <c r="F6" s="415" t="s">
        <v>289</v>
      </c>
      <c r="G6" s="486">
        <f>'Input-Results'!P12</f>
        <v>1.02</v>
      </c>
      <c r="H6" s="487" t="s">
        <v>177</v>
      </c>
    </row>
    <row r="7" spans="2:8" x14ac:dyDescent="0.2">
      <c r="B7" s="416" t="s">
        <v>290</v>
      </c>
      <c r="C7" s="414">
        <f>'HE6'!E20</f>
        <v>358.8</v>
      </c>
      <c r="D7" s="418" t="s">
        <v>7</v>
      </c>
      <c r="F7" s="416" t="s">
        <v>290</v>
      </c>
      <c r="G7" s="414">
        <f>IF(Condensers!D21=0,'CON1.2'!I20,'CON1.2'!H30)</f>
        <v>58.241497101406814</v>
      </c>
      <c r="H7" s="418" t="s">
        <v>7</v>
      </c>
    </row>
    <row r="8" spans="2:8" x14ac:dyDescent="0.2">
      <c r="B8" s="416" t="s">
        <v>214</v>
      </c>
      <c r="C8" s="54">
        <v>1.3</v>
      </c>
      <c r="D8" s="418"/>
      <c r="F8" s="416" t="s">
        <v>214</v>
      </c>
      <c r="G8" s="54">
        <v>1.4</v>
      </c>
      <c r="H8" s="418"/>
    </row>
    <row r="9" spans="2:8" ht="16" thickBot="1" x14ac:dyDescent="0.25">
      <c r="B9" s="419" t="s">
        <v>215</v>
      </c>
      <c r="C9" s="695">
        <f>((((C6^(1-C8))*((C7+273)^C8))/(C22^(1-C8)))^(1/C8))-273</f>
        <v>79.733365145378514</v>
      </c>
      <c r="D9" s="696" t="s">
        <v>7</v>
      </c>
      <c r="F9" s="419" t="s">
        <v>215</v>
      </c>
      <c r="G9" s="695">
        <f>((((G6^(1-G8))*((G7+273)^G8))/(C22^(1-G8)))^(1/G8))-273</f>
        <v>242.61779872213117</v>
      </c>
      <c r="H9" s="696" t="s">
        <v>7</v>
      </c>
    </row>
    <row r="10" spans="2:8" x14ac:dyDescent="0.2">
      <c r="B10" s="411" t="s">
        <v>103</v>
      </c>
      <c r="C10" s="488">
        <f>'Input-Results'!T9</f>
        <v>7.9217999999999993</v>
      </c>
      <c r="D10" s="412" t="s">
        <v>2</v>
      </c>
      <c r="F10" s="411" t="s">
        <v>293</v>
      </c>
      <c r="G10" s="488">
        <f>'Input-Results'!T7</f>
        <v>0.21618336000000002</v>
      </c>
      <c r="H10" s="412" t="s">
        <v>2</v>
      </c>
    </row>
    <row r="11" spans="2:8" x14ac:dyDescent="0.2">
      <c r="B11" s="411"/>
      <c r="C11" s="698"/>
      <c r="D11" s="412"/>
      <c r="F11" s="411" t="s">
        <v>65</v>
      </c>
      <c r="G11" s="488">
        <f>'Input-Results'!T8</f>
        <v>1.4457891359999999</v>
      </c>
      <c r="H11" s="412" t="s">
        <v>2</v>
      </c>
    </row>
    <row r="12" spans="2:8" x14ac:dyDescent="0.2">
      <c r="B12" s="411"/>
      <c r="C12" s="410"/>
      <c r="D12" s="412"/>
      <c r="F12" s="411"/>
      <c r="G12" s="488"/>
      <c r="H12" s="412"/>
    </row>
    <row r="13" spans="2:8" ht="16" thickBot="1" x14ac:dyDescent="0.25">
      <c r="B13" s="607"/>
      <c r="C13" s="609"/>
      <c r="D13" s="413"/>
      <c r="F13" s="607"/>
      <c r="G13" s="608"/>
      <c r="H13" s="413"/>
    </row>
    <row r="14" spans="2:8" x14ac:dyDescent="0.2">
      <c r="B14" s="411" t="s">
        <v>4</v>
      </c>
      <c r="C14" s="489">
        <f>'Interpolation 3'!FD9</f>
        <v>897.51469593374827</v>
      </c>
      <c r="D14" s="412" t="s">
        <v>0</v>
      </c>
      <c r="F14" s="411" t="s">
        <v>4</v>
      </c>
      <c r="G14" s="489">
        <f>'Interpolation 3'!GH9</f>
        <v>12764.026132509782</v>
      </c>
      <c r="H14" s="412" t="s">
        <v>0</v>
      </c>
    </row>
    <row r="15" spans="2:8" ht="16" thickBot="1" x14ac:dyDescent="0.25">
      <c r="B15" s="411"/>
      <c r="C15" s="410"/>
      <c r="D15" s="412"/>
      <c r="F15" s="411"/>
      <c r="G15" s="410"/>
      <c r="H15" s="412"/>
    </row>
    <row r="16" spans="2:8" ht="16" thickBot="1" x14ac:dyDescent="0.25">
      <c r="B16" s="483" t="s">
        <v>296</v>
      </c>
      <c r="C16" s="484">
        <f>C14*C10/1000/60</f>
        <v>0.11849886530413278</v>
      </c>
      <c r="D16" s="485" t="s">
        <v>297</v>
      </c>
      <c r="F16" s="483" t="s">
        <v>296</v>
      </c>
      <c r="G16" s="484">
        <f>(SUM(G10:G13)/1000/60)*G14</f>
        <v>0.35355767284094181</v>
      </c>
      <c r="H16" s="485" t="s">
        <v>297</v>
      </c>
    </row>
    <row r="17" spans="2:8" x14ac:dyDescent="0.2">
      <c r="B17" s="5"/>
      <c r="C17" s="389"/>
      <c r="D17" s="5"/>
      <c r="E17" s="125"/>
      <c r="F17" s="5"/>
      <c r="G17" s="389"/>
      <c r="H17" s="5"/>
    </row>
    <row r="18" spans="2:8" x14ac:dyDescent="0.2">
      <c r="B18" s="5"/>
      <c r="C18" s="389"/>
      <c r="D18" s="5"/>
      <c r="E18" s="125"/>
      <c r="F18" s="5"/>
      <c r="G18" s="389"/>
      <c r="H18" s="5"/>
    </row>
    <row r="19" spans="2:8" x14ac:dyDescent="0.2">
      <c r="B19" s="5"/>
      <c r="C19" s="389"/>
      <c r="D19" s="5"/>
      <c r="E19" s="125"/>
      <c r="F19" s="5"/>
      <c r="G19" s="389"/>
      <c r="H19" s="5"/>
    </row>
    <row r="20" spans="2:8" ht="22.75" customHeight="1" thickBot="1" x14ac:dyDescent="0.25"/>
    <row r="21" spans="2:8" ht="28.75" customHeight="1" thickBot="1" x14ac:dyDescent="0.3">
      <c r="B21" s="849" t="s">
        <v>39</v>
      </c>
      <c r="C21" s="850"/>
      <c r="D21" s="851"/>
      <c r="E21" s="697"/>
      <c r="F21" s="697"/>
    </row>
    <row r="22" spans="2:8" x14ac:dyDescent="0.2">
      <c r="B22" s="415" t="s">
        <v>213</v>
      </c>
      <c r="C22" s="486">
        <f>'Input-Results'!T12</f>
        <v>4.8</v>
      </c>
      <c r="D22" s="487" t="s">
        <v>177</v>
      </c>
    </row>
    <row r="23" spans="2:8" ht="16" thickBot="1" x14ac:dyDescent="0.25">
      <c r="B23" s="419" t="s">
        <v>550</v>
      </c>
      <c r="C23" s="695">
        <f>((C16*(C9+273)+G16*(G9+273))/(C16+G16))-273</f>
        <v>201.72943261582441</v>
      </c>
      <c r="D23" s="696" t="s">
        <v>7</v>
      </c>
    </row>
    <row r="26" spans="2:8" s="342" customFormat="1" x14ac:dyDescent="0.2"/>
    <row r="27" spans="2:8" ht="16" thickBot="1" x14ac:dyDescent="0.25"/>
    <row r="28" spans="2:8" ht="19" x14ac:dyDescent="0.2">
      <c r="B28" s="855" t="s">
        <v>416</v>
      </c>
      <c r="C28" s="856"/>
      <c r="D28" s="857"/>
    </row>
    <row r="29" spans="2:8" x14ac:dyDescent="0.2">
      <c r="B29" s="700" t="s">
        <v>556</v>
      </c>
      <c r="C29" s="764">
        <f>'Input-Results'!D26</f>
        <v>7</v>
      </c>
      <c r="D29" s="701" t="s">
        <v>177</v>
      </c>
    </row>
    <row r="30" spans="2:8" x14ac:dyDescent="0.2">
      <c r="B30" s="287" t="s">
        <v>221</v>
      </c>
      <c r="C30" s="53">
        <f>'Input-Results'!D20-C29</f>
        <v>53</v>
      </c>
      <c r="D30" s="122" t="s">
        <v>177</v>
      </c>
    </row>
    <row r="31" spans="2:8" x14ac:dyDescent="0.2">
      <c r="B31" s="290" t="s">
        <v>243</v>
      </c>
      <c r="C31" s="53">
        <v>1155</v>
      </c>
      <c r="D31" s="122" t="s">
        <v>23</v>
      </c>
    </row>
    <row r="32" spans="2:8" x14ac:dyDescent="0.2">
      <c r="B32" s="123" t="s">
        <v>24</v>
      </c>
      <c r="C32" s="338">
        <f>('Input-Results'!T9/1000/60)/C31</f>
        <v>1.143116883116883E-7</v>
      </c>
      <c r="D32" s="122" t="s">
        <v>222</v>
      </c>
    </row>
    <row r="33" spans="2:4" x14ac:dyDescent="0.2">
      <c r="B33" s="63" t="s">
        <v>223</v>
      </c>
      <c r="C33" s="580">
        <f>'Input-Results'!AD10</f>
        <v>0.75</v>
      </c>
      <c r="D33" s="122" t="s">
        <v>224</v>
      </c>
    </row>
    <row r="34" spans="2:4" ht="16" thickBot="1" x14ac:dyDescent="0.25">
      <c r="B34" s="86" t="s">
        <v>225</v>
      </c>
      <c r="C34" s="165">
        <f>C30*100000*C32/C33</f>
        <v>0.8078025974025973</v>
      </c>
      <c r="D34" s="124" t="s">
        <v>1</v>
      </c>
    </row>
  </sheetData>
  <mergeCells count="4">
    <mergeCell ref="B4:D5"/>
    <mergeCell ref="F4:H5"/>
    <mergeCell ref="B21:D21"/>
    <mergeCell ref="B28:D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4">
    <pageSetUpPr fitToPage="1"/>
  </sheetPr>
  <dimension ref="B1:U106"/>
  <sheetViews>
    <sheetView zoomScale="85" zoomScaleNormal="85" workbookViewId="0">
      <selection activeCell="M45" sqref="M45"/>
    </sheetView>
  </sheetViews>
  <sheetFormatPr baseColWidth="10" defaultColWidth="8.83203125" defaultRowHeight="15" x14ac:dyDescent="0.2"/>
  <cols>
    <col min="2" max="2" width="32.6640625" customWidth="1"/>
    <col min="3" max="3" width="15.5" customWidth="1"/>
    <col min="4" max="4" width="12.5" bestFit="1" customWidth="1"/>
    <col min="6" max="6" width="12.6640625" customWidth="1"/>
    <col min="10" max="10" width="11.83203125" customWidth="1"/>
    <col min="11" max="11" width="5.33203125" customWidth="1"/>
    <col min="12" max="12" width="10.6640625" customWidth="1"/>
    <col min="14" max="14" width="4.33203125" customWidth="1"/>
    <col min="15" max="15" width="7.1640625" customWidth="1"/>
    <col min="16" max="16" width="3.5" bestFit="1" customWidth="1"/>
    <col min="19" max="19" width="12.1640625" bestFit="1" customWidth="1"/>
    <col min="20" max="20" width="17.83203125" bestFit="1" customWidth="1"/>
    <col min="21" max="21" width="10.1640625" bestFit="1" customWidth="1"/>
  </cols>
  <sheetData>
    <row r="1" spans="2:16" ht="16" thickBot="1" x14ac:dyDescent="0.25"/>
    <row r="2" spans="2:16" ht="22" thickBot="1" x14ac:dyDescent="0.3">
      <c r="B2" s="401" t="s">
        <v>543</v>
      </c>
      <c r="C2" s="41"/>
      <c r="D2" s="41"/>
      <c r="E2" s="41"/>
      <c r="F2" s="42"/>
    </row>
    <row r="3" spans="2:16" ht="20" thickBot="1" x14ac:dyDescent="0.3">
      <c r="J3" s="644" t="s">
        <v>534</v>
      </c>
      <c r="K3" s="644">
        <f>D11</f>
        <v>230</v>
      </c>
      <c r="L3" s="394" t="s">
        <v>7</v>
      </c>
      <c r="N3" s="394"/>
      <c r="O3" s="394">
        <f>D16</f>
        <v>58.835305673587641</v>
      </c>
      <c r="P3" s="92" t="s">
        <v>1</v>
      </c>
    </row>
    <row r="4" spans="2:16" ht="17" x14ac:dyDescent="0.25">
      <c r="B4" s="395" t="s">
        <v>548</v>
      </c>
      <c r="C4" s="396" t="s">
        <v>199</v>
      </c>
      <c r="D4" s="396">
        <f>'Input-Results'!D27</f>
        <v>230</v>
      </c>
      <c r="E4" s="397" t="s">
        <v>200</v>
      </c>
      <c r="F4" s="398"/>
    </row>
    <row r="5" spans="2:16" ht="17" x14ac:dyDescent="0.25">
      <c r="B5" s="65" t="s">
        <v>196</v>
      </c>
      <c r="C5" s="60" t="s">
        <v>264</v>
      </c>
      <c r="D5" s="271">
        <f>'HE3'!T37</f>
        <v>246.3413610027871</v>
      </c>
      <c r="E5" s="60" t="s">
        <v>1</v>
      </c>
      <c r="F5" s="399"/>
    </row>
    <row r="6" spans="2:16" ht="17" x14ac:dyDescent="0.25">
      <c r="B6" s="65" t="s">
        <v>549</v>
      </c>
      <c r="C6" s="60" t="s">
        <v>198</v>
      </c>
      <c r="D6" s="60">
        <f>'Input-Results'!D29</f>
        <v>230</v>
      </c>
      <c r="E6" s="391" t="s">
        <v>200</v>
      </c>
      <c r="F6" s="399"/>
    </row>
    <row r="7" spans="2:16" ht="17" x14ac:dyDescent="0.25">
      <c r="B7" s="65" t="s">
        <v>197</v>
      </c>
      <c r="C7" s="60" t="s">
        <v>263</v>
      </c>
      <c r="D7" s="271">
        <f>'HE3'!M37</f>
        <v>187.50605532919946</v>
      </c>
      <c r="E7" s="60" t="s">
        <v>1</v>
      </c>
      <c r="F7" s="399"/>
    </row>
    <row r="8" spans="2:16" x14ac:dyDescent="0.2">
      <c r="B8" s="859" t="s">
        <v>201</v>
      </c>
      <c r="C8" s="861"/>
      <c r="D8" s="392">
        <f>'Input-Results'!H7</f>
        <v>0.88</v>
      </c>
      <c r="E8" s="60" t="s">
        <v>194</v>
      </c>
      <c r="F8" s="399"/>
    </row>
    <row r="9" spans="2:16" x14ac:dyDescent="0.2">
      <c r="B9" s="860"/>
      <c r="C9" s="862"/>
      <c r="D9" s="392">
        <f>D8*'Input-Results'!D7</f>
        <v>15.853446400000001</v>
      </c>
      <c r="E9" s="60" t="s">
        <v>2</v>
      </c>
      <c r="F9" s="399"/>
    </row>
    <row r="10" spans="2:16" x14ac:dyDescent="0.2">
      <c r="B10" s="65" t="s">
        <v>203</v>
      </c>
      <c r="C10" s="60"/>
      <c r="D10" s="393">
        <f>'HE4'!E20</f>
        <v>229.11693733301706</v>
      </c>
      <c r="E10" s="391" t="s">
        <v>200</v>
      </c>
      <c r="F10" s="399"/>
    </row>
    <row r="11" spans="2:16" x14ac:dyDescent="0.2">
      <c r="B11" s="65" t="s">
        <v>202</v>
      </c>
      <c r="C11" s="60"/>
      <c r="D11" s="271">
        <f>'Input-Results'!D22</f>
        <v>230</v>
      </c>
      <c r="E11" s="391" t="s">
        <v>200</v>
      </c>
      <c r="F11" s="399"/>
    </row>
    <row r="12" spans="2:16" x14ac:dyDescent="0.2">
      <c r="B12" s="65" t="s">
        <v>258</v>
      </c>
      <c r="C12" s="60"/>
      <c r="D12" s="60">
        <v>4500</v>
      </c>
      <c r="E12" s="60" t="s">
        <v>0</v>
      </c>
      <c r="F12" s="399"/>
    </row>
    <row r="13" spans="2:16" ht="17" x14ac:dyDescent="0.25">
      <c r="B13" s="438" t="s">
        <v>259</v>
      </c>
      <c r="C13" s="440" t="s">
        <v>261</v>
      </c>
      <c r="D13" s="271">
        <f>(D9/60/1000)*D12*(D11-D10)</f>
        <v>1.0499689994141284</v>
      </c>
      <c r="E13" s="439" t="s">
        <v>1</v>
      </c>
      <c r="F13" s="441"/>
    </row>
    <row r="14" spans="2:16" ht="17" x14ac:dyDescent="0.25">
      <c r="B14" s="65" t="s">
        <v>252</v>
      </c>
      <c r="C14" s="60" t="s">
        <v>254</v>
      </c>
      <c r="D14" s="271">
        <f>IF((MAX(J46:J104)&gt;0),MAX(J46:J104),G104)</f>
        <v>1812.2307692307693</v>
      </c>
      <c r="E14" s="60" t="s">
        <v>255</v>
      </c>
      <c r="F14" s="399"/>
    </row>
    <row r="15" spans="2:16" ht="17" x14ac:dyDescent="0.25">
      <c r="B15" s="65" t="s">
        <v>256</v>
      </c>
      <c r="C15" s="60" t="s">
        <v>257</v>
      </c>
      <c r="D15" s="271">
        <f>D14*D9/60</f>
        <v>478.8350560738462</v>
      </c>
      <c r="E15" s="60" t="s">
        <v>1</v>
      </c>
      <c r="F15" s="399"/>
    </row>
    <row r="16" spans="2:16" ht="17" x14ac:dyDescent="0.25">
      <c r="B16" s="65" t="s">
        <v>262</v>
      </c>
      <c r="C16" s="85" t="s">
        <v>265</v>
      </c>
      <c r="D16" s="271">
        <f>D5-D7</f>
        <v>58.835305673587641</v>
      </c>
      <c r="E16" s="60" t="s">
        <v>1</v>
      </c>
      <c r="F16" s="399"/>
      <c r="G16" s="442" t="str">
        <f>IF(D14=G104,"NO CORRECT EVAPORATION ENTHALPY ABOVE 250,3 C","")</f>
        <v/>
      </c>
    </row>
    <row r="17" spans="2:18" ht="17" x14ac:dyDescent="0.25">
      <c r="B17" s="438" t="s">
        <v>268</v>
      </c>
      <c r="C17" s="85" t="s">
        <v>269</v>
      </c>
      <c r="D17" s="60">
        <f>'Input-Results'!D28</f>
        <v>429</v>
      </c>
      <c r="E17" s="60" t="s">
        <v>1</v>
      </c>
      <c r="F17" s="399"/>
    </row>
    <row r="18" spans="2:18" ht="17" x14ac:dyDescent="0.25">
      <c r="B18" s="65" t="s">
        <v>260</v>
      </c>
      <c r="C18" s="60" t="s">
        <v>270</v>
      </c>
      <c r="D18" s="271">
        <f>D13+D15-D16-D17</f>
        <v>-7.9502806003272894</v>
      </c>
      <c r="E18" s="60" t="s">
        <v>1</v>
      </c>
      <c r="F18" s="399"/>
    </row>
    <row r="19" spans="2:18" x14ac:dyDescent="0.2">
      <c r="B19" s="65" t="s">
        <v>233</v>
      </c>
      <c r="C19" s="60"/>
      <c r="D19" s="54">
        <v>3</v>
      </c>
      <c r="E19" s="60" t="s">
        <v>77</v>
      </c>
      <c r="F19" s="399" t="s">
        <v>234</v>
      </c>
    </row>
    <row r="20" spans="2:18" ht="16" thickBot="1" x14ac:dyDescent="0.25">
      <c r="B20" s="642" t="s">
        <v>267</v>
      </c>
      <c r="C20" s="270"/>
      <c r="D20" s="274">
        <f>D18+(D15+D16)*(D19/100)</f>
        <v>8.1798302520957265</v>
      </c>
      <c r="E20" s="270" t="s">
        <v>1</v>
      </c>
      <c r="F20" s="400"/>
    </row>
    <row r="21" spans="2:18" ht="16" thickBot="1" x14ac:dyDescent="0.25"/>
    <row r="22" spans="2:18" ht="19" x14ac:dyDescent="0.25">
      <c r="B22" s="692" t="s">
        <v>542</v>
      </c>
      <c r="C22" s="690"/>
      <c r="D22" s="690"/>
      <c r="E22" s="690"/>
      <c r="F22" s="691"/>
      <c r="L22" s="92">
        <f>D17</f>
        <v>429</v>
      </c>
      <c r="M22" s="92" t="s">
        <v>1</v>
      </c>
    </row>
    <row r="23" spans="2:18" x14ac:dyDescent="0.2">
      <c r="B23" s="693" t="s">
        <v>547</v>
      </c>
      <c r="C23" s="561"/>
      <c r="D23" s="568">
        <f>'Input-Results'!D24</f>
        <v>235</v>
      </c>
      <c r="E23" s="561" t="s">
        <v>136</v>
      </c>
      <c r="F23" s="575"/>
    </row>
    <row r="24" spans="2:18" x14ac:dyDescent="0.2">
      <c r="B24" s="693" t="s">
        <v>266</v>
      </c>
      <c r="C24" s="561"/>
      <c r="D24" s="689">
        <v>3530</v>
      </c>
      <c r="E24" s="561" t="s">
        <v>0</v>
      </c>
      <c r="F24" s="575" t="s">
        <v>417</v>
      </c>
    </row>
    <row r="25" spans="2:18" ht="16" thickBot="1" x14ac:dyDescent="0.25">
      <c r="B25" s="694" t="s">
        <v>232</v>
      </c>
      <c r="C25" s="572"/>
      <c r="D25" s="612">
        <f>(D9/1000/60)*D24*(D23-'Input-Results'!D22)</f>
        <v>4.6635554826666672</v>
      </c>
      <c r="E25" s="572" t="s">
        <v>1</v>
      </c>
      <c r="F25" s="576"/>
    </row>
    <row r="26" spans="2:18" ht="16" thickBot="1" x14ac:dyDescent="0.25"/>
    <row r="27" spans="2:18" x14ac:dyDescent="0.2">
      <c r="B27" s="71" t="s">
        <v>220</v>
      </c>
      <c r="C27" s="29"/>
      <c r="D27" s="29"/>
      <c r="E27" s="29"/>
      <c r="F27" s="31"/>
    </row>
    <row r="28" spans="2:18" x14ac:dyDescent="0.2">
      <c r="B28" s="63" t="s">
        <v>221</v>
      </c>
      <c r="C28" s="53"/>
      <c r="D28" s="102">
        <f>MAX(U41:U58)-1</f>
        <v>26.96</v>
      </c>
      <c r="E28" s="53" t="s">
        <v>177</v>
      </c>
      <c r="F28" s="122"/>
    </row>
    <row r="29" spans="2:18" x14ac:dyDescent="0.2">
      <c r="B29" s="63" t="s">
        <v>24</v>
      </c>
      <c r="C29" s="53"/>
      <c r="D29" s="338">
        <f>('Input-Results'!H7*'Input-Results'!D7/60/1000)/1000</f>
        <v>2.6422410666666669E-7</v>
      </c>
      <c r="E29" s="53" t="s">
        <v>222</v>
      </c>
      <c r="F29" s="122"/>
    </row>
    <row r="30" spans="2:18" x14ac:dyDescent="0.2">
      <c r="B30" s="63" t="s">
        <v>223</v>
      </c>
      <c r="C30" s="53"/>
      <c r="D30" s="580">
        <f>'Input-Results'!AD11</f>
        <v>0.75</v>
      </c>
      <c r="E30" s="53" t="s">
        <v>224</v>
      </c>
      <c r="F30" s="122"/>
    </row>
    <row r="31" spans="2:18" ht="20" thickBot="1" x14ac:dyDescent="0.3">
      <c r="B31" s="86" t="s">
        <v>225</v>
      </c>
      <c r="C31" s="87"/>
      <c r="D31" s="165">
        <f>D28*100000*D29/D30</f>
        <v>0.94979758876444453</v>
      </c>
      <c r="E31" s="87" t="s">
        <v>1</v>
      </c>
      <c r="F31" s="124"/>
      <c r="J31" s="92" t="s">
        <v>546</v>
      </c>
      <c r="K31" s="394">
        <f>D20</f>
        <v>8.1798302520957265</v>
      </c>
      <c r="L31" s="92" t="s">
        <v>1</v>
      </c>
      <c r="M31" s="92"/>
      <c r="N31" s="92"/>
      <c r="O31" s="858" t="s">
        <v>535</v>
      </c>
      <c r="P31" s="858"/>
      <c r="Q31" s="643">
        <f>D10</f>
        <v>229.11693733301706</v>
      </c>
      <c r="R31" s="92" t="s">
        <v>7</v>
      </c>
    </row>
    <row r="34" spans="2:21" x14ac:dyDescent="0.2">
      <c r="B34" s="5"/>
      <c r="C34" s="5"/>
      <c r="D34" s="389"/>
      <c r="E34" s="5"/>
      <c r="F34" s="5"/>
    </row>
    <row r="35" spans="2:21" x14ac:dyDescent="0.2">
      <c r="B35" s="5"/>
      <c r="C35" s="5"/>
      <c r="D35" s="389"/>
      <c r="E35" s="5"/>
      <c r="F35" s="5"/>
    </row>
    <row r="36" spans="2:21" x14ac:dyDescent="0.2">
      <c r="B36" s="5"/>
      <c r="C36" s="5"/>
      <c r="D36" s="389"/>
      <c r="E36" s="5"/>
      <c r="F36" s="5"/>
    </row>
    <row r="37" spans="2:21" x14ac:dyDescent="0.2">
      <c r="B37" s="5"/>
      <c r="C37" s="5"/>
      <c r="D37" s="389"/>
      <c r="E37" s="5"/>
      <c r="F37" s="5"/>
    </row>
    <row r="38" spans="2:21" ht="16" thickBot="1" x14ac:dyDescent="0.25">
      <c r="B38" s="524" t="s">
        <v>545</v>
      </c>
      <c r="C38" s="5"/>
      <c r="D38" s="389"/>
      <c r="E38" s="5"/>
      <c r="F38" s="5"/>
      <c r="S38" s="263" t="s">
        <v>544</v>
      </c>
    </row>
    <row r="39" spans="2:21" ht="33" thickBot="1" x14ac:dyDescent="0.25">
      <c r="B39" s="656" t="s">
        <v>235</v>
      </c>
      <c r="C39" s="657" t="s">
        <v>238</v>
      </c>
      <c r="D39" s="657" t="s">
        <v>240</v>
      </c>
      <c r="E39" s="657" t="s">
        <v>243</v>
      </c>
      <c r="F39" s="658" t="s">
        <v>244</v>
      </c>
      <c r="G39" s="659"/>
      <c r="H39" s="660"/>
      <c r="I39" s="661" t="s">
        <v>240</v>
      </c>
      <c r="J39" s="652"/>
      <c r="S39" s="71" t="s">
        <v>216</v>
      </c>
      <c r="T39" s="647" t="s">
        <v>219</v>
      </c>
      <c r="U39" s="648"/>
    </row>
    <row r="40" spans="2:21" ht="17" thickBot="1" x14ac:dyDescent="0.25">
      <c r="B40" s="662" t="s">
        <v>236</v>
      </c>
      <c r="C40" s="663" t="s">
        <v>239</v>
      </c>
      <c r="D40" s="663" t="s">
        <v>241</v>
      </c>
      <c r="E40" s="664" t="s">
        <v>536</v>
      </c>
      <c r="F40" s="665"/>
      <c r="G40" s="666"/>
      <c r="H40" s="667"/>
      <c r="I40" s="664" t="s">
        <v>245</v>
      </c>
      <c r="J40" s="653"/>
      <c r="S40" s="645" t="s">
        <v>217</v>
      </c>
      <c r="T40" s="646" t="s">
        <v>218</v>
      </c>
      <c r="U40" s="649"/>
    </row>
    <row r="41" spans="2:21" ht="17" thickBot="1" x14ac:dyDescent="0.25">
      <c r="B41" s="662" t="s">
        <v>237</v>
      </c>
      <c r="C41" s="668"/>
      <c r="D41" s="663" t="s">
        <v>242</v>
      </c>
      <c r="E41" s="668" t="s">
        <v>537</v>
      </c>
      <c r="F41" s="665"/>
      <c r="G41" s="666"/>
      <c r="H41" s="667"/>
      <c r="I41" s="664" t="s">
        <v>246</v>
      </c>
      <c r="J41" s="653"/>
      <c r="S41" s="422">
        <v>100</v>
      </c>
      <c r="T41" s="423">
        <v>1.0009999999999999</v>
      </c>
      <c r="U41" s="426">
        <f t="shared" ref="U41:U57" si="0">IF(($D$11&gt;=S41)*AND($D$11&lt;S42),((($D$11-S41)/(S42-S41))*(T42-T41))+T41,0)</f>
        <v>0</v>
      </c>
    </row>
    <row r="42" spans="2:21" ht="16" thickBot="1" x14ac:dyDescent="0.25">
      <c r="B42" s="669"/>
      <c r="C42" s="668"/>
      <c r="D42" s="668"/>
      <c r="E42" s="668"/>
      <c r="F42" s="670"/>
      <c r="G42" s="671"/>
      <c r="H42" s="672"/>
      <c r="I42" s="664" t="s">
        <v>538</v>
      </c>
      <c r="J42" s="653"/>
      <c r="S42" s="420">
        <v>110</v>
      </c>
      <c r="T42" s="421">
        <v>1.42</v>
      </c>
      <c r="U42" s="426">
        <f t="shared" si="0"/>
        <v>0</v>
      </c>
    </row>
    <row r="43" spans="2:21" ht="16" thickBot="1" x14ac:dyDescent="0.25">
      <c r="B43" s="669"/>
      <c r="C43" s="668"/>
      <c r="D43" s="668"/>
      <c r="E43" s="668"/>
      <c r="F43" s="673" t="s">
        <v>248</v>
      </c>
      <c r="G43" s="673" t="s">
        <v>250</v>
      </c>
      <c r="H43" s="673" t="s">
        <v>251</v>
      </c>
      <c r="I43" s="668" t="s">
        <v>247</v>
      </c>
      <c r="J43" s="653"/>
      <c r="S43" s="420">
        <v>120</v>
      </c>
      <c r="T43" s="421">
        <v>1.96</v>
      </c>
      <c r="U43" s="426">
        <f t="shared" si="0"/>
        <v>0</v>
      </c>
    </row>
    <row r="44" spans="2:21" ht="16" thickBot="1" x14ac:dyDescent="0.25">
      <c r="B44" s="669"/>
      <c r="C44" s="668"/>
      <c r="D44" s="668"/>
      <c r="E44" s="668"/>
      <c r="F44" s="674" t="s">
        <v>539</v>
      </c>
      <c r="G44" s="674" t="s">
        <v>540</v>
      </c>
      <c r="H44" s="674" t="s">
        <v>541</v>
      </c>
      <c r="I44" s="668"/>
      <c r="J44" s="653"/>
      <c r="S44" s="420">
        <v>130</v>
      </c>
      <c r="T44" s="421">
        <v>2.67</v>
      </c>
      <c r="U44" s="426">
        <f t="shared" si="0"/>
        <v>0</v>
      </c>
    </row>
    <row r="45" spans="2:21" ht="16" thickBot="1" x14ac:dyDescent="0.25">
      <c r="B45" s="675"/>
      <c r="C45" s="676"/>
      <c r="D45" s="676"/>
      <c r="E45" s="676"/>
      <c r="F45" s="677" t="s">
        <v>249</v>
      </c>
      <c r="G45" s="677" t="s">
        <v>249</v>
      </c>
      <c r="H45" s="677" t="s">
        <v>249</v>
      </c>
      <c r="I45" s="676"/>
      <c r="J45" s="678" t="s">
        <v>253</v>
      </c>
      <c r="S45" s="420">
        <v>140</v>
      </c>
      <c r="T45" s="421">
        <v>3.57</v>
      </c>
      <c r="U45" s="426">
        <f t="shared" si="0"/>
        <v>0</v>
      </c>
    </row>
    <row r="46" spans="2:21" ht="16" thickBot="1" x14ac:dyDescent="0.25">
      <c r="B46" s="679">
        <v>0.8</v>
      </c>
      <c r="C46" s="680">
        <v>3.8</v>
      </c>
      <c r="D46" s="680">
        <v>160</v>
      </c>
      <c r="E46" s="680">
        <v>6.2599999999999999E-3</v>
      </c>
      <c r="F46" s="680">
        <v>15.8</v>
      </c>
      <c r="G46" s="680">
        <v>2493</v>
      </c>
      <c r="H46" s="680">
        <v>2509</v>
      </c>
      <c r="I46" s="681">
        <v>9058</v>
      </c>
      <c r="J46" s="653">
        <f t="shared" ref="J46:J77" si="1">IF(($D$11&gt;=C46)*AND($D$11&lt;C47),((($D$11-C46)/(C47-C46))*(G47-G46))+G46,0)</f>
        <v>0</v>
      </c>
      <c r="S46" s="420">
        <v>150</v>
      </c>
      <c r="T46" s="421">
        <v>4.7</v>
      </c>
      <c r="U46" s="426">
        <f t="shared" si="0"/>
        <v>0</v>
      </c>
    </row>
    <row r="47" spans="2:21" ht="16" thickBot="1" x14ac:dyDescent="0.25">
      <c r="B47" s="679">
        <v>2</v>
      </c>
      <c r="C47" s="680">
        <v>17.5</v>
      </c>
      <c r="D47" s="680">
        <v>67</v>
      </c>
      <c r="E47" s="680">
        <v>1.49E-2</v>
      </c>
      <c r="F47" s="680">
        <v>73.5</v>
      </c>
      <c r="G47" s="680">
        <v>2460</v>
      </c>
      <c r="H47" s="680">
        <v>2534</v>
      </c>
      <c r="I47" s="681">
        <v>8725</v>
      </c>
      <c r="J47" s="653">
        <f t="shared" si="1"/>
        <v>0</v>
      </c>
      <c r="S47" s="420">
        <v>160</v>
      </c>
      <c r="T47" s="421">
        <v>6.1</v>
      </c>
      <c r="U47" s="426">
        <f t="shared" si="0"/>
        <v>0</v>
      </c>
    </row>
    <row r="48" spans="2:21" ht="16" thickBot="1" x14ac:dyDescent="0.25">
      <c r="B48" s="679">
        <v>5</v>
      </c>
      <c r="C48" s="680">
        <v>32.9</v>
      </c>
      <c r="D48" s="680">
        <v>28.2</v>
      </c>
      <c r="E48" s="680">
        <v>3.5400000000000001E-2</v>
      </c>
      <c r="F48" s="680">
        <v>137.80000000000001</v>
      </c>
      <c r="G48" s="680">
        <v>2424</v>
      </c>
      <c r="H48" s="680">
        <v>2562</v>
      </c>
      <c r="I48" s="681">
        <v>8396</v>
      </c>
      <c r="J48" s="653">
        <f t="shared" si="1"/>
        <v>0</v>
      </c>
      <c r="S48" s="420">
        <v>180</v>
      </c>
      <c r="T48" s="421">
        <v>9.9</v>
      </c>
      <c r="U48" s="426">
        <f t="shared" si="0"/>
        <v>0</v>
      </c>
    </row>
    <row r="49" spans="2:21" ht="16" thickBot="1" x14ac:dyDescent="0.25">
      <c r="B49" s="679">
        <v>10</v>
      </c>
      <c r="C49" s="680">
        <v>45.8</v>
      </c>
      <c r="D49" s="680">
        <v>14.7</v>
      </c>
      <c r="E49" s="680">
        <v>6.8199999999999997E-2</v>
      </c>
      <c r="F49" s="680">
        <v>191.8</v>
      </c>
      <c r="G49" s="680">
        <v>2393</v>
      </c>
      <c r="H49" s="680">
        <v>2585</v>
      </c>
      <c r="I49" s="681">
        <v>8151</v>
      </c>
      <c r="J49" s="653">
        <f t="shared" si="1"/>
        <v>0</v>
      </c>
      <c r="S49" s="420">
        <v>200</v>
      </c>
      <c r="T49" s="421">
        <v>15.35</v>
      </c>
      <c r="U49" s="426">
        <f t="shared" si="0"/>
        <v>0</v>
      </c>
    </row>
    <row r="50" spans="2:21" ht="16" thickBot="1" x14ac:dyDescent="0.25">
      <c r="B50" s="679">
        <v>20</v>
      </c>
      <c r="C50" s="680">
        <v>60.1</v>
      </c>
      <c r="D50" s="680">
        <v>7.65</v>
      </c>
      <c r="E50" s="680">
        <v>0.13100000000000001</v>
      </c>
      <c r="F50" s="680">
        <v>251.5</v>
      </c>
      <c r="G50" s="680">
        <v>2358</v>
      </c>
      <c r="H50" s="680">
        <v>2610</v>
      </c>
      <c r="I50" s="681">
        <v>7909</v>
      </c>
      <c r="J50" s="653">
        <f t="shared" si="1"/>
        <v>0</v>
      </c>
      <c r="S50" s="420">
        <v>220</v>
      </c>
      <c r="T50" s="421">
        <v>22.89</v>
      </c>
      <c r="U50" s="650">
        <f t="shared" si="0"/>
        <v>27.96</v>
      </c>
    </row>
    <row r="51" spans="2:21" ht="16" thickBot="1" x14ac:dyDescent="0.25">
      <c r="B51" s="679">
        <v>28</v>
      </c>
      <c r="C51" s="680">
        <v>67.5</v>
      </c>
      <c r="D51" s="680">
        <v>5.58</v>
      </c>
      <c r="E51" s="680">
        <v>0.17899999999999999</v>
      </c>
      <c r="F51" s="680">
        <v>282.7</v>
      </c>
      <c r="G51" s="680">
        <v>2340</v>
      </c>
      <c r="H51" s="680">
        <v>2623</v>
      </c>
      <c r="I51" s="681">
        <v>7793</v>
      </c>
      <c r="J51" s="653">
        <f t="shared" si="1"/>
        <v>0</v>
      </c>
      <c r="S51" s="420">
        <v>240</v>
      </c>
      <c r="T51" s="421">
        <v>33.03</v>
      </c>
      <c r="U51" s="426">
        <f t="shared" si="0"/>
        <v>0</v>
      </c>
    </row>
    <row r="52" spans="2:21" ht="16" thickBot="1" x14ac:dyDescent="0.25">
      <c r="B52" s="679">
        <v>35</v>
      </c>
      <c r="C52" s="680">
        <v>72.7</v>
      </c>
      <c r="D52" s="680">
        <v>4.53</v>
      </c>
      <c r="E52" s="680">
        <v>0.221</v>
      </c>
      <c r="F52" s="680">
        <v>304.3</v>
      </c>
      <c r="G52" s="680">
        <v>2327</v>
      </c>
      <c r="H52" s="680">
        <v>2632</v>
      </c>
      <c r="I52" s="681">
        <v>7717</v>
      </c>
      <c r="J52" s="653">
        <f t="shared" si="1"/>
        <v>0</v>
      </c>
      <c r="S52" s="420">
        <v>260</v>
      </c>
      <c r="T52" s="421">
        <v>46.31</v>
      </c>
      <c r="U52" s="426">
        <f t="shared" si="0"/>
        <v>0</v>
      </c>
    </row>
    <row r="53" spans="2:21" ht="16" thickBot="1" x14ac:dyDescent="0.25">
      <c r="B53" s="679">
        <v>45</v>
      </c>
      <c r="C53" s="680">
        <v>78.7</v>
      </c>
      <c r="D53" s="680">
        <v>3.58</v>
      </c>
      <c r="E53" s="680">
        <v>0.27900000000000003</v>
      </c>
      <c r="F53" s="680">
        <v>329.6</v>
      </c>
      <c r="G53" s="680">
        <v>2312</v>
      </c>
      <c r="H53" s="680">
        <v>2642</v>
      </c>
      <c r="I53" s="681">
        <v>7631</v>
      </c>
      <c r="J53" s="653">
        <f t="shared" si="1"/>
        <v>0</v>
      </c>
      <c r="S53" s="420">
        <v>280</v>
      </c>
      <c r="T53" s="421">
        <v>63.33</v>
      </c>
      <c r="U53" s="426">
        <f t="shared" si="0"/>
        <v>0</v>
      </c>
    </row>
    <row r="54" spans="2:21" ht="16" thickBot="1" x14ac:dyDescent="0.25">
      <c r="B54" s="679">
        <v>55</v>
      </c>
      <c r="C54" s="680">
        <v>83.7</v>
      </c>
      <c r="D54" s="680">
        <v>2.96</v>
      </c>
      <c r="E54" s="680">
        <v>0.33800000000000002</v>
      </c>
      <c r="F54" s="680">
        <v>350.6</v>
      </c>
      <c r="G54" s="680">
        <v>2299</v>
      </c>
      <c r="H54" s="680">
        <v>2650</v>
      </c>
      <c r="I54" s="681">
        <v>7562</v>
      </c>
      <c r="J54" s="653">
        <f t="shared" si="1"/>
        <v>0</v>
      </c>
      <c r="S54" s="420">
        <v>300</v>
      </c>
      <c r="T54" s="421">
        <v>84.76</v>
      </c>
      <c r="U54" s="426">
        <f t="shared" si="0"/>
        <v>0</v>
      </c>
    </row>
    <row r="55" spans="2:21" ht="16" thickBot="1" x14ac:dyDescent="0.25">
      <c r="B55" s="679">
        <v>65</v>
      </c>
      <c r="C55" s="680">
        <v>88</v>
      </c>
      <c r="D55" s="680">
        <v>2.5299999999999998</v>
      </c>
      <c r="E55" s="680">
        <v>0.39500000000000002</v>
      </c>
      <c r="F55" s="680">
        <v>368.6</v>
      </c>
      <c r="G55" s="680">
        <v>2288</v>
      </c>
      <c r="H55" s="680">
        <v>2657</v>
      </c>
      <c r="I55" s="681">
        <v>7506</v>
      </c>
      <c r="J55" s="653">
        <f t="shared" si="1"/>
        <v>0</v>
      </c>
      <c r="S55" s="420">
        <v>320</v>
      </c>
      <c r="T55" s="421">
        <v>111.4</v>
      </c>
      <c r="U55" s="426">
        <f t="shared" si="0"/>
        <v>0</v>
      </c>
    </row>
    <row r="56" spans="2:21" ht="16" thickBot="1" x14ac:dyDescent="0.25">
      <c r="B56" s="679">
        <v>75</v>
      </c>
      <c r="C56" s="680">
        <v>91.8</v>
      </c>
      <c r="D56" s="680">
        <v>2.2200000000000002</v>
      </c>
      <c r="E56" s="680">
        <v>0.45</v>
      </c>
      <c r="F56" s="680">
        <v>384.5</v>
      </c>
      <c r="G56" s="680">
        <v>2279</v>
      </c>
      <c r="H56" s="680">
        <v>2663</v>
      </c>
      <c r="I56" s="681">
        <v>7457</v>
      </c>
      <c r="J56" s="653">
        <f t="shared" si="1"/>
        <v>0</v>
      </c>
      <c r="S56" s="420">
        <v>340</v>
      </c>
      <c r="T56" s="421">
        <v>144.1</v>
      </c>
      <c r="U56" s="426">
        <f t="shared" si="0"/>
        <v>0</v>
      </c>
    </row>
    <row r="57" spans="2:21" ht="16" thickBot="1" x14ac:dyDescent="0.25">
      <c r="B57" s="679">
        <v>85</v>
      </c>
      <c r="C57" s="680">
        <v>95.2</v>
      </c>
      <c r="D57" s="680">
        <v>1.97</v>
      </c>
      <c r="E57" s="680">
        <v>0.50700000000000001</v>
      </c>
      <c r="F57" s="680">
        <v>398.6</v>
      </c>
      <c r="G57" s="680">
        <v>2270</v>
      </c>
      <c r="H57" s="680">
        <v>2668</v>
      </c>
      <c r="I57" s="681">
        <v>7415</v>
      </c>
      <c r="J57" s="653">
        <f t="shared" si="1"/>
        <v>0</v>
      </c>
      <c r="S57" s="420">
        <v>360</v>
      </c>
      <c r="T57" s="421">
        <v>184.2</v>
      </c>
      <c r="U57" s="426">
        <f t="shared" si="0"/>
        <v>0</v>
      </c>
    </row>
    <row r="58" spans="2:21" ht="16" thickBot="1" x14ac:dyDescent="0.25">
      <c r="B58" s="679">
        <v>95</v>
      </c>
      <c r="C58" s="680">
        <v>98.2</v>
      </c>
      <c r="D58" s="680">
        <v>1.78</v>
      </c>
      <c r="E58" s="680">
        <v>0.56299999999999994</v>
      </c>
      <c r="F58" s="680">
        <v>411.5</v>
      </c>
      <c r="G58" s="680">
        <v>2262</v>
      </c>
      <c r="H58" s="680">
        <v>2673</v>
      </c>
      <c r="I58" s="681">
        <v>7377</v>
      </c>
      <c r="J58" s="653">
        <f t="shared" si="1"/>
        <v>0</v>
      </c>
      <c r="S58" s="424">
        <v>370</v>
      </c>
      <c r="T58" s="425">
        <v>207.7</v>
      </c>
      <c r="U58" s="427">
        <f>IF(($D$11&gt;=S58),((($D$11-S58)/(#REF!-S58))*(#REF!-T58))+T58,0)</f>
        <v>0</v>
      </c>
    </row>
    <row r="59" spans="2:21" ht="16" thickBot="1" x14ac:dyDescent="0.25">
      <c r="B59" s="679">
        <v>100</v>
      </c>
      <c r="C59" s="680">
        <v>99.6</v>
      </c>
      <c r="D59" s="680">
        <v>1.69</v>
      </c>
      <c r="E59" s="680">
        <v>0.59</v>
      </c>
      <c r="F59" s="680">
        <v>417.5</v>
      </c>
      <c r="G59" s="680">
        <v>2258</v>
      </c>
      <c r="H59" s="680">
        <v>2675</v>
      </c>
      <c r="I59" s="681">
        <v>7360</v>
      </c>
      <c r="J59" s="653">
        <f t="shared" si="1"/>
        <v>0</v>
      </c>
    </row>
    <row r="60" spans="2:21" ht="16" thickBot="1" x14ac:dyDescent="0.25">
      <c r="B60" s="682">
        <v>101.331</v>
      </c>
      <c r="C60" s="683">
        <v>100</v>
      </c>
      <c r="D60" s="683">
        <v>1.67</v>
      </c>
      <c r="E60" s="683">
        <v>0.59799999999999998</v>
      </c>
      <c r="F60" s="683">
        <v>419.1</v>
      </c>
      <c r="G60" s="683">
        <v>2257</v>
      </c>
      <c r="H60" s="683">
        <v>2676</v>
      </c>
      <c r="I60" s="684">
        <v>7355</v>
      </c>
      <c r="J60" s="653">
        <f t="shared" si="1"/>
        <v>0</v>
      </c>
    </row>
    <row r="61" spans="2:21" ht="16" thickBot="1" x14ac:dyDescent="0.25">
      <c r="B61" s="679">
        <v>110</v>
      </c>
      <c r="C61" s="680">
        <v>102.3</v>
      </c>
      <c r="D61" s="680">
        <v>1.55</v>
      </c>
      <c r="E61" s="680">
        <v>0.64600000000000002</v>
      </c>
      <c r="F61" s="680">
        <v>428.8</v>
      </c>
      <c r="G61" s="680">
        <v>2251</v>
      </c>
      <c r="H61" s="680">
        <v>2680</v>
      </c>
      <c r="I61" s="681">
        <v>7328</v>
      </c>
      <c r="J61" s="653">
        <f t="shared" si="1"/>
        <v>0</v>
      </c>
    </row>
    <row r="62" spans="2:21" ht="16" thickBot="1" x14ac:dyDescent="0.25">
      <c r="B62" s="679">
        <v>130</v>
      </c>
      <c r="C62" s="680">
        <v>107.1</v>
      </c>
      <c r="D62" s="680">
        <v>1.33</v>
      </c>
      <c r="E62" s="680">
        <v>0.755</v>
      </c>
      <c r="F62" s="680">
        <v>449.2</v>
      </c>
      <c r="G62" s="680">
        <v>2238</v>
      </c>
      <c r="H62" s="680">
        <v>2687</v>
      </c>
      <c r="I62" s="681">
        <v>7271</v>
      </c>
      <c r="J62" s="653">
        <f t="shared" si="1"/>
        <v>0</v>
      </c>
    </row>
    <row r="63" spans="2:21" ht="16" thickBot="1" x14ac:dyDescent="0.25">
      <c r="B63" s="679">
        <v>150</v>
      </c>
      <c r="C63" s="680">
        <v>111.4</v>
      </c>
      <c r="D63" s="680">
        <v>1.1599999999999999</v>
      </c>
      <c r="E63" s="680">
        <v>0.86299999999999999</v>
      </c>
      <c r="F63" s="680">
        <v>467.1</v>
      </c>
      <c r="G63" s="680">
        <v>2226</v>
      </c>
      <c r="H63" s="680">
        <v>2698</v>
      </c>
      <c r="I63" s="681">
        <v>7223</v>
      </c>
      <c r="J63" s="653">
        <f t="shared" si="1"/>
        <v>0</v>
      </c>
    </row>
    <row r="64" spans="2:21" ht="16" thickBot="1" x14ac:dyDescent="0.25">
      <c r="B64" s="679">
        <v>170</v>
      </c>
      <c r="C64" s="680">
        <v>115.2</v>
      </c>
      <c r="D64" s="680">
        <v>1.03</v>
      </c>
      <c r="E64" s="680">
        <v>0.97</v>
      </c>
      <c r="F64" s="680">
        <v>483.2</v>
      </c>
      <c r="G64" s="680">
        <v>2216</v>
      </c>
      <c r="H64" s="680">
        <v>2699</v>
      </c>
      <c r="I64" s="681">
        <v>7181</v>
      </c>
      <c r="J64" s="653">
        <f t="shared" si="1"/>
        <v>0</v>
      </c>
    </row>
    <row r="65" spans="2:10" ht="16" thickBot="1" x14ac:dyDescent="0.25">
      <c r="B65" s="679">
        <v>190</v>
      </c>
      <c r="C65" s="680">
        <v>118.6</v>
      </c>
      <c r="D65" s="680">
        <v>0.92900000000000005</v>
      </c>
      <c r="E65" s="680">
        <v>1.08</v>
      </c>
      <c r="F65" s="680">
        <v>497.8</v>
      </c>
      <c r="G65" s="680">
        <v>2206</v>
      </c>
      <c r="H65" s="680">
        <v>2704</v>
      </c>
      <c r="I65" s="681">
        <v>7144</v>
      </c>
      <c r="J65" s="653">
        <f t="shared" si="1"/>
        <v>0</v>
      </c>
    </row>
    <row r="66" spans="2:10" ht="16" thickBot="1" x14ac:dyDescent="0.25">
      <c r="B66" s="679">
        <v>220</v>
      </c>
      <c r="C66" s="680">
        <v>123.3</v>
      </c>
      <c r="D66" s="680">
        <v>0.81</v>
      </c>
      <c r="E66" s="680">
        <v>1.23</v>
      </c>
      <c r="F66" s="680">
        <v>517.6</v>
      </c>
      <c r="G66" s="680">
        <v>2193</v>
      </c>
      <c r="H66" s="680">
        <v>2711</v>
      </c>
      <c r="I66" s="681">
        <v>7095</v>
      </c>
      <c r="J66" s="653">
        <f t="shared" si="1"/>
        <v>0</v>
      </c>
    </row>
    <row r="67" spans="2:10" ht="16" thickBot="1" x14ac:dyDescent="0.25">
      <c r="B67" s="679">
        <v>260</v>
      </c>
      <c r="C67" s="680">
        <v>128.69999999999999</v>
      </c>
      <c r="D67" s="680">
        <v>0.69299999999999995</v>
      </c>
      <c r="E67" s="680">
        <v>1.44</v>
      </c>
      <c r="F67" s="680">
        <v>540.9</v>
      </c>
      <c r="G67" s="680">
        <v>2177</v>
      </c>
      <c r="H67" s="680">
        <v>2718</v>
      </c>
      <c r="I67" s="681">
        <v>7039</v>
      </c>
      <c r="J67" s="653">
        <f t="shared" si="1"/>
        <v>0</v>
      </c>
    </row>
    <row r="68" spans="2:10" ht="16" thickBot="1" x14ac:dyDescent="0.25">
      <c r="B68" s="679">
        <v>280</v>
      </c>
      <c r="C68" s="680">
        <v>131.19999999999999</v>
      </c>
      <c r="D68" s="680">
        <v>0.64600000000000002</v>
      </c>
      <c r="E68" s="680">
        <v>1.55</v>
      </c>
      <c r="F68" s="680">
        <v>551.4</v>
      </c>
      <c r="G68" s="680">
        <v>2170</v>
      </c>
      <c r="H68" s="680">
        <v>2722</v>
      </c>
      <c r="I68" s="681">
        <v>7014</v>
      </c>
      <c r="J68" s="653">
        <f t="shared" si="1"/>
        <v>0</v>
      </c>
    </row>
    <row r="69" spans="2:10" ht="16" thickBot="1" x14ac:dyDescent="0.25">
      <c r="B69" s="679">
        <v>320</v>
      </c>
      <c r="C69" s="680">
        <v>135.80000000000001</v>
      </c>
      <c r="D69" s="680">
        <v>0.56999999999999995</v>
      </c>
      <c r="E69" s="680">
        <v>1.75</v>
      </c>
      <c r="F69" s="680">
        <v>570.9</v>
      </c>
      <c r="G69" s="680">
        <v>2157</v>
      </c>
      <c r="H69" s="680">
        <v>2728</v>
      </c>
      <c r="I69" s="681">
        <v>6969</v>
      </c>
      <c r="J69" s="653">
        <f t="shared" si="1"/>
        <v>0</v>
      </c>
    </row>
    <row r="70" spans="2:10" ht="16" thickBot="1" x14ac:dyDescent="0.25">
      <c r="B70" s="679">
        <v>360</v>
      </c>
      <c r="C70" s="680">
        <v>139.9</v>
      </c>
      <c r="D70" s="680">
        <v>0.51</v>
      </c>
      <c r="E70" s="680">
        <v>1.96</v>
      </c>
      <c r="F70" s="680">
        <v>588.5</v>
      </c>
      <c r="G70" s="680">
        <v>2144</v>
      </c>
      <c r="H70" s="680">
        <v>2733</v>
      </c>
      <c r="I70" s="681">
        <v>6930</v>
      </c>
      <c r="J70" s="653">
        <f t="shared" si="1"/>
        <v>0</v>
      </c>
    </row>
    <row r="71" spans="2:10" ht="16" thickBot="1" x14ac:dyDescent="0.25">
      <c r="B71" s="679">
        <v>400</v>
      </c>
      <c r="C71" s="680">
        <v>143.1</v>
      </c>
      <c r="D71" s="680">
        <v>0.46200000000000002</v>
      </c>
      <c r="E71" s="680">
        <v>2.16</v>
      </c>
      <c r="F71" s="680">
        <v>604.70000000000005</v>
      </c>
      <c r="G71" s="680">
        <v>2133</v>
      </c>
      <c r="H71" s="680">
        <v>2738</v>
      </c>
      <c r="I71" s="681">
        <v>6894</v>
      </c>
      <c r="J71" s="653">
        <f t="shared" si="1"/>
        <v>0</v>
      </c>
    </row>
    <row r="72" spans="2:10" ht="16" thickBot="1" x14ac:dyDescent="0.25">
      <c r="B72" s="679">
        <v>440</v>
      </c>
      <c r="C72" s="680">
        <v>147.1</v>
      </c>
      <c r="D72" s="680">
        <v>0.42299999999999999</v>
      </c>
      <c r="E72" s="680">
        <v>2.36</v>
      </c>
      <c r="F72" s="680">
        <v>619.6</v>
      </c>
      <c r="G72" s="680">
        <v>2122</v>
      </c>
      <c r="H72" s="680">
        <v>2742</v>
      </c>
      <c r="I72" s="681">
        <v>6862</v>
      </c>
      <c r="J72" s="653">
        <f t="shared" si="1"/>
        <v>0</v>
      </c>
    </row>
    <row r="73" spans="2:10" ht="16" thickBot="1" x14ac:dyDescent="0.25">
      <c r="B73" s="679">
        <v>480</v>
      </c>
      <c r="C73" s="680">
        <v>150.30000000000001</v>
      </c>
      <c r="D73" s="680">
        <v>0.38900000000000001</v>
      </c>
      <c r="E73" s="680">
        <v>2.57</v>
      </c>
      <c r="F73" s="680">
        <v>633.5</v>
      </c>
      <c r="G73" s="680">
        <v>2112</v>
      </c>
      <c r="H73" s="680">
        <v>2746</v>
      </c>
      <c r="I73" s="681">
        <v>6833</v>
      </c>
      <c r="J73" s="653">
        <f t="shared" si="1"/>
        <v>0</v>
      </c>
    </row>
    <row r="74" spans="2:10" ht="16" thickBot="1" x14ac:dyDescent="0.25">
      <c r="B74" s="679">
        <v>500</v>
      </c>
      <c r="C74" s="680">
        <v>151.80000000000001</v>
      </c>
      <c r="D74" s="680">
        <v>0.375</v>
      </c>
      <c r="E74" s="680">
        <v>2.67</v>
      </c>
      <c r="F74" s="680">
        <v>640.1</v>
      </c>
      <c r="G74" s="680">
        <v>2107</v>
      </c>
      <c r="H74" s="680">
        <v>2748</v>
      </c>
      <c r="I74" s="681">
        <v>6819</v>
      </c>
      <c r="J74" s="653">
        <f t="shared" si="1"/>
        <v>0</v>
      </c>
    </row>
    <row r="75" spans="2:10" ht="16" thickBot="1" x14ac:dyDescent="0.25">
      <c r="B75" s="679">
        <v>550</v>
      </c>
      <c r="C75" s="680">
        <v>155.5</v>
      </c>
      <c r="D75" s="680">
        <v>0.34200000000000003</v>
      </c>
      <c r="E75" s="680">
        <v>2.92</v>
      </c>
      <c r="F75" s="680">
        <v>655.8</v>
      </c>
      <c r="G75" s="680">
        <v>2096</v>
      </c>
      <c r="H75" s="680">
        <v>2752</v>
      </c>
      <c r="I75" s="681">
        <v>6787</v>
      </c>
      <c r="J75" s="653">
        <f t="shared" si="1"/>
        <v>0</v>
      </c>
    </row>
    <row r="76" spans="2:10" ht="16" thickBot="1" x14ac:dyDescent="0.25">
      <c r="B76" s="679">
        <v>600</v>
      </c>
      <c r="C76" s="680">
        <v>158.80000000000001</v>
      </c>
      <c r="D76" s="680">
        <v>0.315</v>
      </c>
      <c r="E76" s="685">
        <v>3175</v>
      </c>
      <c r="F76" s="680">
        <v>670.4</v>
      </c>
      <c r="G76" s="680">
        <v>2085</v>
      </c>
      <c r="H76" s="680">
        <v>2756</v>
      </c>
      <c r="I76" s="681">
        <v>6758</v>
      </c>
      <c r="J76" s="653">
        <f t="shared" si="1"/>
        <v>0</v>
      </c>
    </row>
    <row r="77" spans="2:10" ht="16" thickBot="1" x14ac:dyDescent="0.25">
      <c r="B77" s="679">
        <v>650</v>
      </c>
      <c r="C77" s="680">
        <v>162</v>
      </c>
      <c r="D77" s="680">
        <v>0.29199999999999998</v>
      </c>
      <c r="E77" s="685">
        <v>3425</v>
      </c>
      <c r="F77" s="680">
        <v>684.1</v>
      </c>
      <c r="G77" s="680">
        <v>2075</v>
      </c>
      <c r="H77" s="680">
        <v>2759</v>
      </c>
      <c r="I77" s="681">
        <v>6730</v>
      </c>
      <c r="J77" s="653">
        <f t="shared" si="1"/>
        <v>0</v>
      </c>
    </row>
    <row r="78" spans="2:10" ht="16" thickBot="1" x14ac:dyDescent="0.25">
      <c r="B78" s="679">
        <v>700</v>
      </c>
      <c r="C78" s="680">
        <v>165</v>
      </c>
      <c r="D78" s="680">
        <v>0.27300000000000002</v>
      </c>
      <c r="E78" s="680">
        <v>3.66</v>
      </c>
      <c r="F78" s="680">
        <v>697.1</v>
      </c>
      <c r="G78" s="680">
        <v>2065</v>
      </c>
      <c r="H78" s="680">
        <v>2762</v>
      </c>
      <c r="I78" s="681">
        <v>6705</v>
      </c>
      <c r="J78" s="653">
        <f t="shared" ref="J78:J104" si="2">IF(($D$11&gt;=C78)*AND($D$11&lt;C79),((($D$11-C78)/(C79-C78))*(G79-G78))+G78,0)</f>
        <v>0</v>
      </c>
    </row>
    <row r="79" spans="2:10" ht="16" thickBot="1" x14ac:dyDescent="0.25">
      <c r="B79" s="679">
        <v>750</v>
      </c>
      <c r="C79" s="680">
        <v>167.8</v>
      </c>
      <c r="D79" s="680">
        <v>0.255</v>
      </c>
      <c r="E79" s="685">
        <v>3915</v>
      </c>
      <c r="F79" s="680">
        <v>709.3</v>
      </c>
      <c r="G79" s="680">
        <v>2056</v>
      </c>
      <c r="H79" s="680">
        <v>2765</v>
      </c>
      <c r="I79" s="681">
        <v>6682</v>
      </c>
      <c r="J79" s="653">
        <f t="shared" si="2"/>
        <v>0</v>
      </c>
    </row>
    <row r="80" spans="2:10" ht="16" thickBot="1" x14ac:dyDescent="0.25">
      <c r="B80" s="679">
        <v>800</v>
      </c>
      <c r="C80" s="680">
        <v>170.4</v>
      </c>
      <c r="D80" s="680">
        <v>0.24</v>
      </c>
      <c r="E80" s="680">
        <v>4.16</v>
      </c>
      <c r="F80" s="680">
        <v>720.9</v>
      </c>
      <c r="G80" s="680">
        <v>2047</v>
      </c>
      <c r="H80" s="680">
        <v>2768</v>
      </c>
      <c r="I80" s="681">
        <v>6660</v>
      </c>
      <c r="J80" s="653">
        <f t="shared" si="2"/>
        <v>0</v>
      </c>
    </row>
    <row r="81" spans="2:10" ht="16" thickBot="1" x14ac:dyDescent="0.25">
      <c r="B81" s="679">
        <v>850</v>
      </c>
      <c r="C81" s="680">
        <v>172.9</v>
      </c>
      <c r="D81" s="680">
        <v>0.22900000000000001</v>
      </c>
      <c r="E81" s="680">
        <v>4.41</v>
      </c>
      <c r="F81" s="680">
        <v>732</v>
      </c>
      <c r="G81" s="680">
        <v>2038</v>
      </c>
      <c r="H81" s="680">
        <v>2770</v>
      </c>
      <c r="I81" s="681">
        <v>6639</v>
      </c>
      <c r="J81" s="653">
        <f t="shared" si="2"/>
        <v>0</v>
      </c>
    </row>
    <row r="82" spans="2:10" ht="16" thickBot="1" x14ac:dyDescent="0.25">
      <c r="B82" s="679">
        <v>900</v>
      </c>
      <c r="C82" s="680">
        <v>175.4</v>
      </c>
      <c r="D82" s="680">
        <v>0.215</v>
      </c>
      <c r="E82" s="680">
        <v>4.6500000000000004</v>
      </c>
      <c r="F82" s="680">
        <v>742.6</v>
      </c>
      <c r="G82" s="680">
        <v>2030</v>
      </c>
      <c r="H82" s="680">
        <v>2772</v>
      </c>
      <c r="I82" s="681">
        <v>6619</v>
      </c>
      <c r="J82" s="653">
        <f t="shared" si="2"/>
        <v>0</v>
      </c>
    </row>
    <row r="83" spans="2:10" ht="16" thickBot="1" x14ac:dyDescent="0.25">
      <c r="B83" s="679">
        <v>950</v>
      </c>
      <c r="C83" s="680">
        <v>177.7</v>
      </c>
      <c r="D83" s="680">
        <v>0.20399999999999999</v>
      </c>
      <c r="E83" s="680">
        <v>4.9000000000000004</v>
      </c>
      <c r="F83" s="680">
        <v>752.8</v>
      </c>
      <c r="G83" s="680">
        <v>2021</v>
      </c>
      <c r="H83" s="680">
        <v>2774</v>
      </c>
      <c r="I83" s="681">
        <v>6601</v>
      </c>
      <c r="J83" s="653">
        <f t="shared" si="2"/>
        <v>0</v>
      </c>
    </row>
    <row r="84" spans="2:10" ht="16" thickBot="1" x14ac:dyDescent="0.25">
      <c r="B84" s="679">
        <v>1000</v>
      </c>
      <c r="C84" s="680">
        <v>179.9</v>
      </c>
      <c r="D84" s="680">
        <v>0.19400000000000001</v>
      </c>
      <c r="E84" s="680">
        <v>5.15</v>
      </c>
      <c r="F84" s="680">
        <v>762.6</v>
      </c>
      <c r="G84" s="680">
        <v>2014</v>
      </c>
      <c r="H84" s="680">
        <v>2776</v>
      </c>
      <c r="I84" s="681">
        <v>6583</v>
      </c>
      <c r="J84" s="653">
        <f t="shared" si="2"/>
        <v>0</v>
      </c>
    </row>
    <row r="85" spans="2:10" ht="16" thickBot="1" x14ac:dyDescent="0.25">
      <c r="B85" s="679">
        <v>1050</v>
      </c>
      <c r="C85" s="680">
        <v>182</v>
      </c>
      <c r="D85" s="680">
        <v>0.186</v>
      </c>
      <c r="E85" s="680">
        <v>5.39</v>
      </c>
      <c r="F85" s="680">
        <v>772</v>
      </c>
      <c r="G85" s="680">
        <v>2006</v>
      </c>
      <c r="H85" s="680">
        <v>2778</v>
      </c>
      <c r="I85" s="681">
        <v>6566</v>
      </c>
      <c r="J85" s="653">
        <f t="shared" si="2"/>
        <v>0</v>
      </c>
    </row>
    <row r="86" spans="2:10" ht="16" thickBot="1" x14ac:dyDescent="0.25">
      <c r="B86" s="679">
        <v>1150</v>
      </c>
      <c r="C86" s="680">
        <v>186</v>
      </c>
      <c r="D86" s="680">
        <v>0.17</v>
      </c>
      <c r="E86" s="680">
        <v>5.89</v>
      </c>
      <c r="F86" s="680">
        <v>790</v>
      </c>
      <c r="G86" s="680">
        <v>1991</v>
      </c>
      <c r="H86" s="680">
        <v>2781</v>
      </c>
      <c r="I86" s="681">
        <v>6534</v>
      </c>
      <c r="J86" s="653">
        <f t="shared" si="2"/>
        <v>0</v>
      </c>
    </row>
    <row r="87" spans="2:10" ht="16" thickBot="1" x14ac:dyDescent="0.25">
      <c r="B87" s="679">
        <v>1250</v>
      </c>
      <c r="C87" s="680">
        <v>189.8</v>
      </c>
      <c r="D87" s="680">
        <v>0.157</v>
      </c>
      <c r="E87" s="680">
        <v>6.38</v>
      </c>
      <c r="F87" s="680">
        <v>807</v>
      </c>
      <c r="G87" s="680">
        <v>1977</v>
      </c>
      <c r="H87" s="680">
        <v>2784</v>
      </c>
      <c r="I87" s="681">
        <v>6505</v>
      </c>
      <c r="J87" s="653">
        <f t="shared" si="2"/>
        <v>0</v>
      </c>
    </row>
    <row r="88" spans="2:10" ht="16" thickBot="1" x14ac:dyDescent="0.25">
      <c r="B88" s="679">
        <v>1300</v>
      </c>
      <c r="C88" s="680">
        <v>191.6</v>
      </c>
      <c r="D88" s="680">
        <v>0.151</v>
      </c>
      <c r="E88" s="680">
        <v>6.62</v>
      </c>
      <c r="F88" s="680">
        <v>815</v>
      </c>
      <c r="G88" s="680">
        <v>1971</v>
      </c>
      <c r="H88" s="680">
        <v>2785</v>
      </c>
      <c r="I88" s="681">
        <v>6491</v>
      </c>
      <c r="J88" s="653">
        <f t="shared" si="2"/>
        <v>0</v>
      </c>
    </row>
    <row r="89" spans="2:10" ht="16" thickBot="1" x14ac:dyDescent="0.25">
      <c r="B89" s="679">
        <v>1500</v>
      </c>
      <c r="C89" s="680">
        <v>198.3</v>
      </c>
      <c r="D89" s="680">
        <v>0.13200000000000001</v>
      </c>
      <c r="E89" s="680">
        <v>7.59</v>
      </c>
      <c r="F89" s="680">
        <v>845</v>
      </c>
      <c r="G89" s="680">
        <v>1945</v>
      </c>
      <c r="H89" s="680">
        <v>2790</v>
      </c>
      <c r="I89" s="681">
        <v>6441</v>
      </c>
      <c r="J89" s="653">
        <f t="shared" si="2"/>
        <v>0</v>
      </c>
    </row>
    <row r="90" spans="2:10" ht="16" thickBot="1" x14ac:dyDescent="0.25">
      <c r="B90" s="679">
        <v>1600</v>
      </c>
      <c r="C90" s="680">
        <v>201.4</v>
      </c>
      <c r="D90" s="680">
        <v>0.124</v>
      </c>
      <c r="E90" s="680">
        <v>8.0299999999999994</v>
      </c>
      <c r="F90" s="680">
        <v>859</v>
      </c>
      <c r="G90" s="680">
        <v>1933</v>
      </c>
      <c r="H90" s="680">
        <v>2792</v>
      </c>
      <c r="I90" s="681">
        <v>6418</v>
      </c>
      <c r="J90" s="653">
        <f t="shared" si="2"/>
        <v>0</v>
      </c>
    </row>
    <row r="91" spans="2:10" ht="16" thickBot="1" x14ac:dyDescent="0.25">
      <c r="B91" s="679">
        <v>1800</v>
      </c>
      <c r="C91" s="680">
        <v>207.1</v>
      </c>
      <c r="D91" s="680">
        <v>0.11</v>
      </c>
      <c r="E91" s="680">
        <v>9.07</v>
      </c>
      <c r="F91" s="680">
        <v>885</v>
      </c>
      <c r="G91" s="680">
        <v>1910</v>
      </c>
      <c r="H91" s="680">
        <v>2795</v>
      </c>
      <c r="I91" s="681">
        <v>6375</v>
      </c>
      <c r="J91" s="653">
        <f t="shared" si="2"/>
        <v>0</v>
      </c>
    </row>
    <row r="92" spans="2:10" ht="16" thickBot="1" x14ac:dyDescent="0.25">
      <c r="B92" s="679">
        <v>2000</v>
      </c>
      <c r="C92" s="680">
        <v>212.4</v>
      </c>
      <c r="D92" s="680">
        <v>9.9500000000000005E-2</v>
      </c>
      <c r="E92" s="680">
        <v>10.01</v>
      </c>
      <c r="F92" s="680">
        <v>909</v>
      </c>
      <c r="G92" s="680">
        <v>1889</v>
      </c>
      <c r="H92" s="680">
        <v>2797</v>
      </c>
      <c r="I92" s="681">
        <v>6337</v>
      </c>
      <c r="J92" s="653">
        <f t="shared" si="2"/>
        <v>0</v>
      </c>
    </row>
    <row r="93" spans="2:10" ht="16" thickBot="1" x14ac:dyDescent="0.25">
      <c r="B93" s="679">
        <v>2100</v>
      </c>
      <c r="C93" s="680">
        <v>214.9</v>
      </c>
      <c r="D93" s="680">
        <v>9.4500000000000001E-2</v>
      </c>
      <c r="E93" s="680">
        <v>10.54</v>
      </c>
      <c r="F93" s="680">
        <v>920</v>
      </c>
      <c r="G93" s="680">
        <v>1878</v>
      </c>
      <c r="H93" s="680">
        <v>2798</v>
      </c>
      <c r="I93" s="681">
        <v>6319</v>
      </c>
      <c r="J93" s="653">
        <f t="shared" si="2"/>
        <v>0</v>
      </c>
    </row>
    <row r="94" spans="2:10" ht="16" thickBot="1" x14ac:dyDescent="0.25">
      <c r="B94" s="679">
        <v>2300</v>
      </c>
      <c r="C94" s="680">
        <v>219.6</v>
      </c>
      <c r="D94" s="680">
        <v>8.6800000000000002E-2</v>
      </c>
      <c r="E94" s="680">
        <v>11.52</v>
      </c>
      <c r="F94" s="680">
        <v>942</v>
      </c>
      <c r="G94" s="680">
        <v>1858</v>
      </c>
      <c r="H94" s="680">
        <v>2800</v>
      </c>
      <c r="I94" s="681">
        <v>6285</v>
      </c>
      <c r="J94" s="653">
        <f t="shared" si="2"/>
        <v>0</v>
      </c>
    </row>
    <row r="95" spans="2:10" ht="16" thickBot="1" x14ac:dyDescent="0.25">
      <c r="B95" s="679">
        <v>2400</v>
      </c>
      <c r="C95" s="680">
        <v>221.8</v>
      </c>
      <c r="D95" s="680">
        <v>8.3199999999999996E-2</v>
      </c>
      <c r="E95" s="680">
        <v>12.02</v>
      </c>
      <c r="F95" s="680">
        <v>952</v>
      </c>
      <c r="G95" s="680">
        <v>1849</v>
      </c>
      <c r="H95" s="680">
        <v>2800</v>
      </c>
      <c r="I95" s="681">
        <v>6269</v>
      </c>
      <c r="J95" s="653">
        <f t="shared" si="2"/>
        <v>0</v>
      </c>
    </row>
    <row r="96" spans="2:10" ht="16" thickBot="1" x14ac:dyDescent="0.25">
      <c r="B96" s="679">
        <v>2600</v>
      </c>
      <c r="C96" s="680">
        <v>226</v>
      </c>
      <c r="D96" s="680">
        <v>7.6899999999999996E-2</v>
      </c>
      <c r="E96" s="680">
        <v>13.01</v>
      </c>
      <c r="F96" s="680">
        <v>972</v>
      </c>
      <c r="G96" s="680">
        <v>1830</v>
      </c>
      <c r="H96" s="680">
        <v>2801</v>
      </c>
      <c r="I96" s="681">
        <v>6239</v>
      </c>
      <c r="J96" s="653">
        <f t="shared" si="2"/>
        <v>0</v>
      </c>
    </row>
    <row r="97" spans="2:10" ht="16" thickBot="1" x14ac:dyDescent="0.25">
      <c r="B97" s="679">
        <v>2700</v>
      </c>
      <c r="C97" s="680">
        <v>228.1</v>
      </c>
      <c r="D97" s="680">
        <v>7.3999999999999996E-2</v>
      </c>
      <c r="E97" s="680">
        <v>13.52</v>
      </c>
      <c r="F97" s="680">
        <v>981</v>
      </c>
      <c r="G97" s="680">
        <v>1821</v>
      </c>
      <c r="H97" s="680">
        <v>2802</v>
      </c>
      <c r="I97" s="681">
        <v>6224</v>
      </c>
      <c r="J97" s="653">
        <f t="shared" si="2"/>
        <v>1812.2307692307693</v>
      </c>
    </row>
    <row r="98" spans="2:10" ht="16" thickBot="1" x14ac:dyDescent="0.25">
      <c r="B98" s="679">
        <v>2900</v>
      </c>
      <c r="C98" s="680">
        <v>232</v>
      </c>
      <c r="D98" s="680">
        <v>6.8900000000000003E-2</v>
      </c>
      <c r="E98" s="680">
        <v>14.52</v>
      </c>
      <c r="F98" s="680">
        <v>1000</v>
      </c>
      <c r="G98" s="680">
        <v>1803</v>
      </c>
      <c r="H98" s="680">
        <v>2802</v>
      </c>
      <c r="I98" s="681">
        <v>6197</v>
      </c>
      <c r="J98" s="653">
        <f t="shared" si="2"/>
        <v>0</v>
      </c>
    </row>
    <row r="99" spans="2:10" ht="16" thickBot="1" x14ac:dyDescent="0.25">
      <c r="B99" s="679">
        <v>3000</v>
      </c>
      <c r="C99" s="680">
        <v>233.8</v>
      </c>
      <c r="D99" s="680">
        <v>6.6600000000000006E-2</v>
      </c>
      <c r="E99" s="680">
        <v>15</v>
      </c>
      <c r="F99" s="680">
        <v>1008</v>
      </c>
      <c r="G99" s="680">
        <v>1794</v>
      </c>
      <c r="H99" s="680">
        <v>2802</v>
      </c>
      <c r="I99" s="681">
        <v>6184</v>
      </c>
      <c r="J99" s="653">
        <f t="shared" si="2"/>
        <v>0</v>
      </c>
    </row>
    <row r="100" spans="2:10" ht="16" thickBot="1" x14ac:dyDescent="0.25">
      <c r="B100" s="679">
        <v>3200</v>
      </c>
      <c r="C100" s="680">
        <v>237.4</v>
      </c>
      <c r="D100" s="680">
        <v>6.2399999999999997E-2</v>
      </c>
      <c r="E100" s="680">
        <v>16.02</v>
      </c>
      <c r="F100" s="680">
        <v>1025</v>
      </c>
      <c r="G100" s="680">
        <v>1779</v>
      </c>
      <c r="H100" s="680">
        <v>2802</v>
      </c>
      <c r="I100" s="681">
        <v>6158</v>
      </c>
      <c r="J100" s="653">
        <f t="shared" si="2"/>
        <v>0</v>
      </c>
    </row>
    <row r="101" spans="2:10" ht="16" thickBot="1" x14ac:dyDescent="0.25">
      <c r="B101" s="679">
        <v>3400</v>
      </c>
      <c r="C101" s="680">
        <v>240.9</v>
      </c>
      <c r="D101" s="680">
        <v>5.8700000000000002E-2</v>
      </c>
      <c r="E101" s="680">
        <v>17.04</v>
      </c>
      <c r="F101" s="680">
        <v>1042</v>
      </c>
      <c r="G101" s="680">
        <v>1760</v>
      </c>
      <c r="H101" s="680">
        <v>2802</v>
      </c>
      <c r="I101" s="681">
        <v>6134</v>
      </c>
      <c r="J101" s="653">
        <f t="shared" si="2"/>
        <v>0</v>
      </c>
    </row>
    <row r="102" spans="2:10" ht="16" thickBot="1" x14ac:dyDescent="0.25">
      <c r="B102" s="679">
        <v>3600</v>
      </c>
      <c r="C102" s="680">
        <v>244.2</v>
      </c>
      <c r="D102" s="680">
        <v>5.5399999999999998E-2</v>
      </c>
      <c r="E102" s="680">
        <v>18.059999999999999</v>
      </c>
      <c r="F102" s="680">
        <v>1058</v>
      </c>
      <c r="G102" s="680">
        <v>1744</v>
      </c>
      <c r="H102" s="680">
        <v>2802</v>
      </c>
      <c r="I102" s="681">
        <v>6112</v>
      </c>
      <c r="J102" s="653">
        <f t="shared" si="2"/>
        <v>0</v>
      </c>
    </row>
    <row r="103" spans="2:10" ht="16" thickBot="1" x14ac:dyDescent="0.25">
      <c r="B103" s="679">
        <v>3800</v>
      </c>
      <c r="C103" s="680">
        <v>247.3</v>
      </c>
      <c r="D103" s="680">
        <v>5.2400000000000002E-2</v>
      </c>
      <c r="E103" s="680">
        <v>19.079999999999998</v>
      </c>
      <c r="F103" s="680">
        <v>1073</v>
      </c>
      <c r="G103" s="680">
        <v>1728</v>
      </c>
      <c r="H103" s="680">
        <v>2801</v>
      </c>
      <c r="I103" s="681">
        <v>6090</v>
      </c>
      <c r="J103" s="653">
        <f t="shared" si="2"/>
        <v>0</v>
      </c>
    </row>
    <row r="104" spans="2:10" ht="16" thickBot="1" x14ac:dyDescent="0.25">
      <c r="B104" s="686">
        <v>4000</v>
      </c>
      <c r="C104" s="687">
        <v>250.3</v>
      </c>
      <c r="D104" s="687">
        <v>4.9700000000000001E-2</v>
      </c>
      <c r="E104" s="687">
        <v>20.09</v>
      </c>
      <c r="F104" s="687">
        <v>1087</v>
      </c>
      <c r="G104" s="687">
        <v>1713</v>
      </c>
      <c r="H104" s="687">
        <v>2800</v>
      </c>
      <c r="I104" s="688">
        <v>6069</v>
      </c>
      <c r="J104" s="653">
        <f t="shared" si="2"/>
        <v>0</v>
      </c>
    </row>
    <row r="105" spans="2:10" x14ac:dyDescent="0.2">
      <c r="B105" s="654"/>
      <c r="C105" s="655"/>
      <c r="D105" s="655"/>
      <c r="E105" s="655"/>
      <c r="F105" s="655"/>
      <c r="G105" s="655"/>
      <c r="H105" s="655"/>
      <c r="I105" s="655"/>
      <c r="J105" s="653"/>
    </row>
    <row r="106" spans="2:10" ht="16" thickBot="1" x14ac:dyDescent="0.25">
      <c r="B106" s="651"/>
      <c r="C106" s="358"/>
      <c r="D106" s="358"/>
      <c r="E106" s="358"/>
      <c r="F106" s="358"/>
      <c r="G106" s="358"/>
      <c r="H106" s="358"/>
      <c r="I106" s="358"/>
      <c r="J106" s="357"/>
    </row>
  </sheetData>
  <mergeCells count="3">
    <mergeCell ref="O31:P31"/>
    <mergeCell ref="B8:B9"/>
    <mergeCell ref="C8:C9"/>
  </mergeCells>
  <hyperlinks>
    <hyperlink ref="B39" r:id="rId1" tooltip="Pressure" display="https://www.engineeringtoolbox.com/pressure-d_587.html" xr:uid="{00000000-0004-0000-0B00-000000000000}"/>
    <hyperlink ref="B40" r:id="rId2" tooltip="Pressure" display="https://www.engineeringtoolbox.com/pressure-d_587.html" xr:uid="{00000000-0004-0000-0B00-000001000000}"/>
    <hyperlink ref="B41" r:id="rId3" tooltip="Pressure" display="https://www.engineeringtoolbox.com/pressure-d_587.html" xr:uid="{00000000-0004-0000-0B00-000002000000}"/>
    <hyperlink ref="C39" r:id="rId4" tooltip="Temperature" display="https://www.engineeringtoolbox.com/temperature-d_291.html" xr:uid="{00000000-0004-0000-0B00-000003000000}"/>
    <hyperlink ref="C40" r:id="rId5" tooltip="Temperature" display="https://www.engineeringtoolbox.com/temperature-d_291.html" xr:uid="{00000000-0004-0000-0B00-000004000000}"/>
    <hyperlink ref="D39" r:id="rId6" tooltip="Specific volume" display="https://www.engineeringtoolbox.com/density-specific-weight-gravity-d_290.html" xr:uid="{00000000-0004-0000-0B00-000005000000}"/>
    <hyperlink ref="D40" r:id="rId7" tooltip="Specific volume" display="https://www.engineeringtoolbox.com/density-specific-weight-gravity-d_290.html" xr:uid="{00000000-0004-0000-0B00-000006000000}"/>
    <hyperlink ref="D41" r:id="rId8" tooltip="Specific volume" display="https://www.engineeringtoolbox.com/density-specific-weight-gravity-d_290.html" xr:uid="{00000000-0004-0000-0B00-000007000000}"/>
    <hyperlink ref="E39" r:id="rId9" tooltip="Density" display="https://www.engineeringtoolbox.com/density-specific-weight-gravity-d_290.html" xr:uid="{00000000-0004-0000-0B00-000008000000}"/>
  </hyperlinks>
  <pageMargins left="0.19685039370078741" right="0.19685039370078741" top="0.74803149606299213" bottom="0.74803149606299213" header="0" footer="0"/>
  <pageSetup paperSize="9" scale="87" orientation="landscape" horizontalDpi="0" verticalDpi="0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26">
    <pageSetUpPr fitToPage="1"/>
  </sheetPr>
  <dimension ref="B1:X43"/>
  <sheetViews>
    <sheetView zoomScale="78" zoomScaleNormal="78" workbookViewId="0">
      <selection activeCell="L42" sqref="L42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bestFit="1" customWidth="1"/>
    <col min="15" max="15" width="2.83203125" style="3" customWidth="1"/>
    <col min="16" max="16" width="8.33203125" customWidth="1"/>
    <col min="17" max="17" width="7.83203125" customWidth="1"/>
    <col min="18" max="18" width="1.5" customWidth="1"/>
    <col min="19" max="19" width="22.3320312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432</v>
      </c>
    </row>
    <row r="3" spans="3:24" ht="6.5" customHeight="1" thickBot="1" x14ac:dyDescent="0.25"/>
    <row r="4" spans="3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277</v>
      </c>
      <c r="D6" s="53"/>
      <c r="E6" s="152">
        <f>Condensers!L7</f>
        <v>500</v>
      </c>
      <c r="F6" s="122" t="s">
        <v>2</v>
      </c>
      <c r="G6" s="141" t="s">
        <v>277</v>
      </c>
      <c r="H6" s="57"/>
      <c r="I6" s="146">
        <f>Condensers!M7</f>
        <v>2.8536203519999996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 x14ac:dyDescent="0.2">
      <c r="C7" s="63"/>
      <c r="D7" s="53"/>
      <c r="E7" s="152"/>
      <c r="F7" s="122"/>
      <c r="G7" s="141" t="s">
        <v>65</v>
      </c>
      <c r="H7" s="57"/>
      <c r="I7" s="146">
        <f>Condensers!M8</f>
        <v>1.4457891359999999</v>
      </c>
      <c r="J7" s="64" t="s">
        <v>2</v>
      </c>
      <c r="L7" s="141" t="s">
        <v>163</v>
      </c>
      <c r="M7" s="146">
        <f>I6</f>
        <v>2.8536203519999996</v>
      </c>
      <c r="N7" s="145" t="s">
        <v>2</v>
      </c>
      <c r="O7" s="142" t="s">
        <v>31</v>
      </c>
      <c r="P7" s="147">
        <f>I14</f>
        <v>145.64049091688548</v>
      </c>
      <c r="Q7" s="64">
        <f>Condensers!M13</f>
        <v>1.0149999999999999</v>
      </c>
      <c r="S7" s="63" t="s">
        <v>163</v>
      </c>
      <c r="T7" s="53">
        <f>E6</f>
        <v>500</v>
      </c>
      <c r="U7" s="131" t="s">
        <v>2</v>
      </c>
      <c r="V7" s="128" t="s">
        <v>31</v>
      </c>
      <c r="W7" s="102">
        <f>E22</f>
        <v>16.071229429887303</v>
      </c>
      <c r="X7" s="122">
        <f>Condensers!L13</f>
        <v>3</v>
      </c>
    </row>
    <row r="8" spans="3:24" x14ac:dyDescent="0.2">
      <c r="C8" s="63"/>
      <c r="D8" s="53"/>
      <c r="E8" s="53"/>
      <c r="F8" s="122"/>
      <c r="G8" s="141"/>
      <c r="H8" s="57"/>
      <c r="I8" s="146"/>
      <c r="J8" s="64"/>
      <c r="L8" s="141"/>
      <c r="M8" s="337">
        <f>M7/1000/60</f>
        <v>4.7560339199999996E-5</v>
      </c>
      <c r="N8" s="145" t="s">
        <v>3</v>
      </c>
      <c r="O8" s="142" t="s">
        <v>31</v>
      </c>
      <c r="P8" s="147">
        <f>P7</f>
        <v>145.64049091688548</v>
      </c>
      <c r="Q8" s="64">
        <f>Q7</f>
        <v>1.0149999999999999</v>
      </c>
      <c r="S8" s="63"/>
      <c r="T8" s="55">
        <f>T7/1000/60</f>
        <v>8.3333333333333332E-3</v>
      </c>
      <c r="U8" s="131" t="s">
        <v>3</v>
      </c>
      <c r="V8" s="128" t="s">
        <v>31</v>
      </c>
      <c r="W8" s="102">
        <f>W7</f>
        <v>16.071229429887303</v>
      </c>
      <c r="X8" s="122">
        <f>X7</f>
        <v>3</v>
      </c>
    </row>
    <row r="9" spans="3:24" x14ac:dyDescent="0.2">
      <c r="C9" s="63"/>
      <c r="D9" s="53"/>
      <c r="E9" s="53"/>
      <c r="F9" s="122"/>
      <c r="G9" s="141"/>
      <c r="H9" s="57"/>
      <c r="I9" s="146"/>
      <c r="J9" s="64"/>
      <c r="L9" s="141" t="s">
        <v>90</v>
      </c>
      <c r="M9" s="146">
        <f>I7</f>
        <v>1.4457891359999999</v>
      </c>
      <c r="N9" s="145" t="s">
        <v>2</v>
      </c>
      <c r="O9" s="142" t="s">
        <v>31</v>
      </c>
      <c r="P9" s="147">
        <f>P8</f>
        <v>145.64049091688548</v>
      </c>
      <c r="Q9" s="64">
        <f>Q8</f>
        <v>1.0149999999999999</v>
      </c>
      <c r="S9" s="63"/>
      <c r="T9" s="152"/>
      <c r="U9" s="131"/>
      <c r="V9" s="128"/>
      <c r="W9" s="53"/>
      <c r="X9" s="122"/>
    </row>
    <row r="10" spans="3:24" x14ac:dyDescent="0.2">
      <c r="C10" s="63" t="s">
        <v>45</v>
      </c>
      <c r="D10" s="53"/>
      <c r="E10" s="102">
        <f>E6+E7</f>
        <v>500</v>
      </c>
      <c r="F10" s="122" t="s">
        <v>2</v>
      </c>
      <c r="G10" s="141" t="s">
        <v>45</v>
      </c>
      <c r="H10" s="57"/>
      <c r="I10" s="146">
        <f>I6+I7</f>
        <v>4.2994094879999993</v>
      </c>
      <c r="J10" s="64" t="s">
        <v>2</v>
      </c>
      <c r="L10" s="141"/>
      <c r="M10" s="337">
        <f>M9/1000/60</f>
        <v>2.4096485600000001E-5</v>
      </c>
      <c r="N10" s="145" t="s">
        <v>3</v>
      </c>
      <c r="O10" s="142" t="s">
        <v>31</v>
      </c>
      <c r="P10" s="147">
        <f>P9</f>
        <v>145.64049091688548</v>
      </c>
      <c r="Q10" s="64">
        <f>Q7</f>
        <v>1.0149999999999999</v>
      </c>
      <c r="S10" s="63"/>
      <c r="T10" s="55"/>
      <c r="U10" s="131"/>
      <c r="V10" s="128"/>
      <c r="W10" s="53"/>
      <c r="X10" s="122"/>
    </row>
    <row r="11" spans="3:24" x14ac:dyDescent="0.2">
      <c r="C11" s="63" t="s">
        <v>45</v>
      </c>
      <c r="D11" s="53"/>
      <c r="E11" s="338">
        <f>E10/1000/60</f>
        <v>8.3333333333333332E-3</v>
      </c>
      <c r="F11" s="122" t="s">
        <v>3</v>
      </c>
      <c r="G11" s="141" t="s">
        <v>46</v>
      </c>
      <c r="H11" s="57"/>
      <c r="I11" s="337">
        <f>I10/1000/60</f>
        <v>7.1656824799999993E-5</v>
      </c>
      <c r="J11" s="64" t="s">
        <v>3</v>
      </c>
      <c r="L11" s="141"/>
      <c r="M11" s="146"/>
      <c r="N11" s="145"/>
      <c r="O11" s="142"/>
      <c r="P11" s="147"/>
      <c r="Q11" s="64"/>
      <c r="S11" s="63"/>
      <c r="T11" s="338"/>
      <c r="U11" s="131"/>
      <c r="V11" s="128"/>
      <c r="W11" s="53"/>
      <c r="X11" s="122"/>
    </row>
    <row r="12" spans="3:24" ht="17" x14ac:dyDescent="0.25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2'!S7</f>
        <v>6139.7118794888756</v>
      </c>
      <c r="J12" s="64" t="s">
        <v>0</v>
      </c>
      <c r="L12" s="141"/>
      <c r="M12" s="146"/>
      <c r="N12" s="145"/>
      <c r="O12" s="142"/>
      <c r="P12" s="147"/>
      <c r="Q12" s="64"/>
      <c r="S12" s="63"/>
      <c r="T12" s="338"/>
      <c r="U12" s="131"/>
      <c r="V12" s="128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0.43995225847101305</v>
      </c>
      <c r="J13" s="64" t="s">
        <v>8</v>
      </c>
      <c r="L13" s="141"/>
      <c r="M13" s="146"/>
      <c r="N13" s="145"/>
      <c r="O13" s="142"/>
      <c r="P13" s="147"/>
      <c r="Q13" s="64"/>
      <c r="S13" s="63"/>
      <c r="T13" s="338"/>
      <c r="U13" s="131"/>
      <c r="V13" s="128"/>
      <c r="W13" s="53"/>
      <c r="X13" s="122"/>
    </row>
    <row r="14" spans="3:24" ht="18" thickBot="1" x14ac:dyDescent="0.3">
      <c r="C14" s="86" t="s">
        <v>560</v>
      </c>
      <c r="D14" s="87" t="s">
        <v>16</v>
      </c>
      <c r="E14" s="165">
        <f>Condensers!D17</f>
        <v>15</v>
      </c>
      <c r="F14" s="124" t="s">
        <v>7</v>
      </c>
      <c r="G14" s="148" t="s">
        <v>561</v>
      </c>
      <c r="H14" s="149" t="s">
        <v>17</v>
      </c>
      <c r="I14" s="388">
        <f>'HE1'!I20</f>
        <v>145.64049091688548</v>
      </c>
      <c r="J14" s="151" t="s">
        <v>7</v>
      </c>
      <c r="L14" s="141"/>
      <c r="M14" s="146"/>
      <c r="N14" s="145"/>
      <c r="O14" s="142"/>
      <c r="P14" s="147"/>
      <c r="Q14" s="64"/>
      <c r="S14" s="63"/>
      <c r="T14" s="53"/>
      <c r="U14" s="53"/>
      <c r="V14" s="53"/>
      <c r="W14" s="53"/>
      <c r="X14" s="122"/>
    </row>
    <row r="15" spans="3:24" x14ac:dyDescent="0.2">
      <c r="C15" s="83" t="s">
        <v>169</v>
      </c>
      <c r="D15" s="84" t="s">
        <v>15</v>
      </c>
      <c r="E15" s="260">
        <f>Condensers!D27</f>
        <v>0.65</v>
      </c>
      <c r="F15" s="260"/>
      <c r="G15" s="450"/>
      <c r="H15" s="450"/>
      <c r="I15" s="450"/>
      <c r="J15" s="451"/>
      <c r="L15" s="141"/>
      <c r="M15" s="146"/>
      <c r="N15" s="145"/>
      <c r="O15" s="142"/>
      <c r="P15" s="147"/>
      <c r="Q15" s="64"/>
      <c r="S15" s="63"/>
      <c r="T15" s="53"/>
      <c r="U15" s="53"/>
      <c r="V15" s="53"/>
      <c r="W15" s="53"/>
      <c r="X15" s="122"/>
    </row>
    <row r="16" spans="3:24" x14ac:dyDescent="0.2">
      <c r="C16" s="83" t="s">
        <v>188</v>
      </c>
      <c r="D16" s="85" t="s">
        <v>53</v>
      </c>
      <c r="E16" s="260">
        <f>Condensers!D20</f>
        <v>1</v>
      </c>
      <c r="F16" s="61" t="s">
        <v>63</v>
      </c>
      <c r="G16" s="62"/>
      <c r="H16" s="62"/>
      <c r="I16" s="62"/>
      <c r="J16" s="66"/>
      <c r="L16" s="141" t="s">
        <v>164</v>
      </c>
      <c r="M16" s="146">
        <f>(1/461.52)*(100000*Q16/(P16+273))</f>
        <v>0.52533251908706746</v>
      </c>
      <c r="N16" s="145" t="s">
        <v>23</v>
      </c>
      <c r="O16" s="142" t="s">
        <v>31</v>
      </c>
      <c r="P16" s="147">
        <f>P7</f>
        <v>145.64049091688548</v>
      </c>
      <c r="Q16" s="64">
        <f>Q7</f>
        <v>1.0149999999999999</v>
      </c>
      <c r="S16" s="63" t="s">
        <v>164</v>
      </c>
      <c r="T16" s="152">
        <v>1000</v>
      </c>
      <c r="U16" s="131" t="s">
        <v>23</v>
      </c>
      <c r="V16" s="128" t="s">
        <v>31</v>
      </c>
      <c r="W16" s="102">
        <f>W7</f>
        <v>16.071229429887303</v>
      </c>
      <c r="X16" s="122">
        <f>X7</f>
        <v>3</v>
      </c>
    </row>
    <row r="17" spans="3:24" x14ac:dyDescent="0.2">
      <c r="C17" s="83" t="s">
        <v>56</v>
      </c>
      <c r="D17" s="85" t="s">
        <v>57</v>
      </c>
      <c r="E17" s="103">
        <f>MIN(E13,I13)/MAX(E13:I13)</f>
        <v>1.2615118522466323E-2</v>
      </c>
      <c r="F17" s="61"/>
      <c r="G17" s="62"/>
      <c r="H17" s="62"/>
      <c r="I17" s="62"/>
      <c r="J17" s="66"/>
      <c r="L17" s="141" t="s">
        <v>91</v>
      </c>
      <c r="M17" s="146">
        <f>(1/4124.2)*(100000*Q17/(P17+273))</f>
        <v>5.878751375031846E-2</v>
      </c>
      <c r="N17" s="145" t="s">
        <v>23</v>
      </c>
      <c r="O17" s="142" t="s">
        <v>31</v>
      </c>
      <c r="P17" s="147">
        <f>P8</f>
        <v>145.64049091688548</v>
      </c>
      <c r="Q17" s="64">
        <f>Q16</f>
        <v>1.0149999999999999</v>
      </c>
      <c r="S17" s="63"/>
      <c r="T17" s="53"/>
      <c r="U17" s="53"/>
      <c r="V17" s="53"/>
      <c r="W17" s="53"/>
      <c r="X17" s="122"/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0.65</v>
      </c>
      <c r="F18" s="61" t="s">
        <v>60</v>
      </c>
      <c r="G18" s="62"/>
      <c r="H18" s="62"/>
      <c r="I18" s="62"/>
      <c r="J18" s="66"/>
      <c r="L18" s="141"/>
      <c r="M18" s="146"/>
      <c r="N18" s="145"/>
      <c r="O18" s="142"/>
      <c r="P18" s="147"/>
      <c r="Q18" s="64"/>
      <c r="S18" s="63"/>
      <c r="T18" s="53"/>
      <c r="U18" s="53"/>
      <c r="V18" s="53"/>
      <c r="W18" s="53"/>
      <c r="X18" s="122"/>
    </row>
    <row r="19" spans="3:24" ht="17" x14ac:dyDescent="0.25">
      <c r="C19" s="65" t="s">
        <v>14</v>
      </c>
      <c r="D19" s="60" t="s">
        <v>18</v>
      </c>
      <c r="E19" s="105">
        <f>E18*MIN(E13,I13)*(I14-E14)</f>
        <v>37.359126367319668</v>
      </c>
      <c r="F19" s="61" t="s">
        <v>1</v>
      </c>
      <c r="G19" s="62" t="s">
        <v>22</v>
      </c>
      <c r="H19" s="62"/>
      <c r="I19" s="62"/>
      <c r="J19" s="66"/>
      <c r="L19" s="141"/>
      <c r="M19" s="146"/>
      <c r="N19" s="145"/>
      <c r="O19" s="142"/>
      <c r="P19" s="147"/>
      <c r="Q19" s="64"/>
      <c r="S19" s="63"/>
      <c r="T19" s="53"/>
      <c r="U19" s="53"/>
      <c r="V19" s="53"/>
      <c r="W19" s="53"/>
      <c r="X19" s="122"/>
    </row>
    <row r="20" spans="3:24" ht="17" x14ac:dyDescent="0.25">
      <c r="C20" s="287" t="s">
        <v>562</v>
      </c>
      <c r="D20" s="106" t="s">
        <v>20</v>
      </c>
      <c r="E20" s="444">
        <f>E14+E19/E13</f>
        <v>16.071229429887303</v>
      </c>
      <c r="F20" s="289" t="s">
        <v>7</v>
      </c>
      <c r="G20" s="57" t="s">
        <v>563</v>
      </c>
      <c r="H20" s="57" t="s">
        <v>21</v>
      </c>
      <c r="I20" s="147">
        <f>I14-E19/I13</f>
        <v>60.724171820909902</v>
      </c>
      <c r="J20" s="64" t="s">
        <v>7</v>
      </c>
      <c r="L20" s="387" t="s">
        <v>629</v>
      </c>
      <c r="M20" s="773">
        <f>1/(((I6/I10)/M16)+((I7/I10)/M17))</f>
        <v>0.14319193682898243</v>
      </c>
      <c r="N20" s="145" t="s">
        <v>23</v>
      </c>
      <c r="O20" s="142" t="s">
        <v>31</v>
      </c>
      <c r="P20" s="147">
        <f>P9</f>
        <v>145.64049091688548</v>
      </c>
      <c r="Q20" s="64">
        <f>Q17</f>
        <v>1.0149999999999999</v>
      </c>
      <c r="S20" s="63"/>
      <c r="T20" s="53"/>
      <c r="U20" s="53"/>
      <c r="V20" s="53"/>
      <c r="W20" s="53"/>
      <c r="X20" s="122"/>
    </row>
    <row r="21" spans="3:24" x14ac:dyDescent="0.2">
      <c r="C21" s="287" t="s">
        <v>278</v>
      </c>
      <c r="D21" s="106"/>
      <c r="E21" s="732">
        <v>0</v>
      </c>
      <c r="F21" s="53" t="s">
        <v>77</v>
      </c>
      <c r="G21" s="107" t="s">
        <v>279</v>
      </c>
      <c r="H21" s="107"/>
      <c r="I21" s="201">
        <f>IF(E16=0,0,100*(H30-I20)/(I14-I20))</f>
        <v>-2.9236720879258429</v>
      </c>
      <c r="J21" s="108" t="s">
        <v>77</v>
      </c>
      <c r="L21" s="141"/>
      <c r="M21" s="57"/>
      <c r="N21" s="142"/>
      <c r="O21" s="142"/>
      <c r="P21" s="57"/>
      <c r="Q21" s="64"/>
      <c r="S21" s="63"/>
      <c r="T21" s="53"/>
      <c r="U21" s="53"/>
      <c r="V21" s="53"/>
      <c r="W21" s="53"/>
      <c r="X21" s="122"/>
    </row>
    <row r="22" spans="3:24" ht="16" thickBot="1" x14ac:dyDescent="0.25">
      <c r="C22" s="86" t="s">
        <v>271</v>
      </c>
      <c r="D22" s="87"/>
      <c r="E22" s="165">
        <f>IF((P40&gt;0)*AND(E16&gt;0),E20+(E21/100)*(P40/(E12*(E6/1000/60))),E20)</f>
        <v>16.071229429887303</v>
      </c>
      <c r="F22" s="87" t="s">
        <v>7</v>
      </c>
      <c r="G22" s="149"/>
      <c r="H22" s="149"/>
      <c r="I22" s="445"/>
      <c r="J22" s="151"/>
      <c r="L22" s="141" t="s">
        <v>184</v>
      </c>
      <c r="M22" s="147">
        <f>(3600*M8/M16)+(3600*M10/M17)</f>
        <v>1.8015299952824391</v>
      </c>
      <c r="N22" s="145" t="s">
        <v>25</v>
      </c>
      <c r="O22" s="142" t="s">
        <v>31</v>
      </c>
      <c r="P22" s="147">
        <f>P7</f>
        <v>145.64049091688548</v>
      </c>
      <c r="Q22" s="64">
        <f>Q7</f>
        <v>1.0149999999999999</v>
      </c>
      <c r="S22" s="63" t="s">
        <v>568</v>
      </c>
      <c r="T22" s="152">
        <f>(3600*T8/T16)</f>
        <v>0.03</v>
      </c>
      <c r="U22" s="131" t="s">
        <v>25</v>
      </c>
      <c r="V22" s="128" t="s">
        <v>31</v>
      </c>
      <c r="W22" s="102">
        <f>W7</f>
        <v>16.071229429887303</v>
      </c>
      <c r="X22" s="122">
        <f>X7</f>
        <v>3</v>
      </c>
    </row>
    <row r="23" spans="3:24" ht="16" thickBot="1" x14ac:dyDescent="0.25">
      <c r="C23" s="5"/>
      <c r="D23" s="5"/>
      <c r="E23" s="5"/>
      <c r="F23" s="5"/>
      <c r="G23" s="5"/>
      <c r="H23" s="5"/>
      <c r="I23" s="5"/>
      <c r="J23" s="5"/>
      <c r="L23" s="141"/>
      <c r="M23" s="59">
        <f>M22*1000/60</f>
        <v>30.025499921373985</v>
      </c>
      <c r="N23" s="145" t="s">
        <v>49</v>
      </c>
      <c r="O23" s="142" t="s">
        <v>31</v>
      </c>
      <c r="P23" s="147">
        <f>P7</f>
        <v>145.64049091688548</v>
      </c>
      <c r="Q23" s="64">
        <f>Q7</f>
        <v>1.0149999999999999</v>
      </c>
      <c r="S23" s="63"/>
      <c r="T23" s="152">
        <f>T22*1000/60</f>
        <v>0.5</v>
      </c>
      <c r="U23" s="131" t="s">
        <v>49</v>
      </c>
      <c r="V23" s="128" t="s">
        <v>31</v>
      </c>
      <c r="W23" s="102">
        <f>W7</f>
        <v>16.071229429887303</v>
      </c>
      <c r="X23" s="122">
        <f>X7</f>
        <v>3</v>
      </c>
    </row>
    <row r="24" spans="3:24" x14ac:dyDescent="0.2">
      <c r="C24" s="365" t="s">
        <v>181</v>
      </c>
      <c r="D24" s="366" t="s">
        <v>182</v>
      </c>
      <c r="E24" s="367"/>
      <c r="F24" s="367"/>
      <c r="G24" s="366"/>
      <c r="H24" s="366"/>
      <c r="I24" s="366"/>
      <c r="J24" s="368"/>
      <c r="L24" s="141"/>
      <c r="M24" s="57"/>
      <c r="N24" s="142"/>
      <c r="O24" s="142"/>
      <c r="P24" s="57"/>
      <c r="Q24" s="64"/>
      <c r="S24" s="63"/>
      <c r="T24" s="53"/>
      <c r="U24" s="53"/>
      <c r="V24" s="53"/>
      <c r="W24" s="53"/>
      <c r="X24" s="122"/>
    </row>
    <row r="25" spans="3:24" x14ac:dyDescent="0.2">
      <c r="C25" s="213" t="s">
        <v>179</v>
      </c>
      <c r="D25" s="360">
        <f>I14</f>
        <v>145.64049091688548</v>
      </c>
      <c r="E25" s="371" t="s">
        <v>7</v>
      </c>
      <c r="F25" s="361"/>
      <c r="G25" s="93" t="s">
        <v>180</v>
      </c>
      <c r="H25" s="309">
        <f>I20</f>
        <v>60.724171820909902</v>
      </c>
      <c r="I25" s="374" t="s">
        <v>7</v>
      </c>
      <c r="J25" s="369"/>
      <c r="L25" s="387" t="s">
        <v>191</v>
      </c>
      <c r="M25" s="245">
        <f>M22*(P25+273)/(P22+273)</f>
        <v>1.436110741150266</v>
      </c>
      <c r="N25" s="145" t="s">
        <v>25</v>
      </c>
      <c r="O25" s="142" t="s">
        <v>31</v>
      </c>
      <c r="P25" s="147">
        <f>I20</f>
        <v>60.724171820909902</v>
      </c>
      <c r="Q25" s="64">
        <f>Q8</f>
        <v>1.0149999999999999</v>
      </c>
      <c r="S25" s="63" t="s">
        <v>184</v>
      </c>
      <c r="T25" s="152">
        <f>T22*(W25+273)/(W22+273)</f>
        <v>2.988882711378784E-2</v>
      </c>
      <c r="U25" s="131" t="s">
        <v>25</v>
      </c>
      <c r="V25" s="128" t="s">
        <v>31</v>
      </c>
      <c r="W25" s="102">
        <f>E14</f>
        <v>15</v>
      </c>
      <c r="X25" s="122">
        <f>X7</f>
        <v>3</v>
      </c>
    </row>
    <row r="26" spans="3:24" x14ac:dyDescent="0.2">
      <c r="C26" s="96" t="s">
        <v>178</v>
      </c>
      <c r="D26" s="94">
        <f>0.01*0.61078*EXP((17.27*D25)/(D25+237.3))</f>
        <v>4.3490749740436359</v>
      </c>
      <c r="E26" s="372" t="s">
        <v>177</v>
      </c>
      <c r="F26" s="359"/>
      <c r="G26" s="93" t="s">
        <v>178</v>
      </c>
      <c r="H26" s="98">
        <f>0.01*0.61078*EXP((17.27*H25)/(H25+237.3))</f>
        <v>0.20611419662085018</v>
      </c>
      <c r="I26" s="374" t="s">
        <v>177</v>
      </c>
      <c r="J26" s="369"/>
      <c r="L26" s="141"/>
      <c r="M26" s="59">
        <f>M25*1000/60</f>
        <v>23.935179019171098</v>
      </c>
      <c r="N26" s="145" t="s">
        <v>49</v>
      </c>
      <c r="O26" s="142" t="s">
        <v>31</v>
      </c>
      <c r="P26" s="147">
        <f>P25</f>
        <v>60.724171820909902</v>
      </c>
      <c r="Q26" s="64">
        <f>Q7</f>
        <v>1.0149999999999999</v>
      </c>
      <c r="S26" s="63"/>
      <c r="T26" s="152">
        <f>T25*1000/60</f>
        <v>0.49814711856313065</v>
      </c>
      <c r="U26" s="131" t="s">
        <v>49</v>
      </c>
      <c r="V26" s="128" t="s">
        <v>31</v>
      </c>
      <c r="W26" s="102">
        <f>W25</f>
        <v>15</v>
      </c>
      <c r="X26" s="122">
        <f>X25</f>
        <v>3</v>
      </c>
    </row>
    <row r="27" spans="3:24" x14ac:dyDescent="0.2">
      <c r="C27" s="336" t="s">
        <v>183</v>
      </c>
      <c r="D27" s="362">
        <f>(((I6/Condensers!D7)/60)*8.3144598*(D25+273)/(M22/3600))/100000</f>
        <v>0.18362854752557073</v>
      </c>
      <c r="E27" s="373" t="s">
        <v>177</v>
      </c>
      <c r="F27" s="363"/>
      <c r="G27" s="93" t="s">
        <v>183</v>
      </c>
      <c r="H27" s="94">
        <f>(((I6/Condensers!D7)/60)*8.3144598*(H25+273)/(M25/3600))/100000</f>
        <v>0.18362854752557073</v>
      </c>
      <c r="I27" s="374" t="s">
        <v>177</v>
      </c>
      <c r="J27" s="369"/>
      <c r="L27" s="141"/>
      <c r="M27" s="57"/>
      <c r="N27" s="142"/>
      <c r="O27" s="142"/>
      <c r="P27" s="57"/>
      <c r="Q27" s="64"/>
      <c r="S27" s="63"/>
      <c r="T27" s="53"/>
      <c r="U27" s="53"/>
      <c r="V27" s="53"/>
      <c r="W27" s="53"/>
      <c r="X27" s="122"/>
    </row>
    <row r="28" spans="3:24" ht="19" x14ac:dyDescent="0.25">
      <c r="C28" s="839" t="s">
        <v>185</v>
      </c>
      <c r="D28" s="840"/>
      <c r="E28" s="840"/>
      <c r="F28" s="841"/>
      <c r="G28" s="842" t="s">
        <v>186</v>
      </c>
      <c r="H28" s="840"/>
      <c r="I28" s="840"/>
      <c r="J28" s="843"/>
      <c r="L28" s="141" t="s">
        <v>634</v>
      </c>
      <c r="M28" s="146">
        <f>((3600*M10/M17))*(I20+273)/(I14+273)+((100-E21)/100)*((3600*M8/M16))*(I20+273)/(I14+273)</f>
        <v>1.4361107411502663</v>
      </c>
      <c r="N28" s="145" t="s">
        <v>25</v>
      </c>
      <c r="O28" s="142" t="s">
        <v>31</v>
      </c>
      <c r="P28" s="147">
        <f>I20</f>
        <v>60.724171820909902</v>
      </c>
      <c r="Q28" s="64">
        <f>Q7</f>
        <v>1.0149999999999999</v>
      </c>
      <c r="S28" s="63"/>
      <c r="T28" s="53"/>
      <c r="U28" s="53"/>
      <c r="V28" s="53"/>
      <c r="W28" s="53"/>
      <c r="X28" s="122"/>
    </row>
    <row r="29" spans="3:24" ht="20" thickBot="1" x14ac:dyDescent="0.3">
      <c r="C29" s="844" t="str">
        <f>IF(D26&lt;D27,"CONDENSATION","NO CONDENSATION")</f>
        <v>NO CONDENSATION</v>
      </c>
      <c r="D29" s="845"/>
      <c r="E29" s="845"/>
      <c r="F29" s="846"/>
      <c r="G29" s="847" t="str">
        <f>IF(H26&lt;H27,"CONDENSATION","NO CONDENSATION")</f>
        <v>NO CONDENSATION</v>
      </c>
      <c r="H29" s="845"/>
      <c r="I29" s="845"/>
      <c r="J29" s="848"/>
      <c r="L29" s="141"/>
      <c r="M29" s="734"/>
      <c r="N29" s="145"/>
      <c r="O29" s="142"/>
      <c r="P29" s="57"/>
      <c r="Q29" s="64"/>
      <c r="S29" s="63"/>
      <c r="T29" s="152"/>
      <c r="U29" s="131"/>
      <c r="V29" s="128"/>
      <c r="W29" s="102"/>
      <c r="X29" s="122"/>
    </row>
    <row r="30" spans="3:24" ht="21" customHeight="1" thickBot="1" x14ac:dyDescent="0.25">
      <c r="D30" s="5"/>
      <c r="G30" s="728" t="s">
        <v>231</v>
      </c>
      <c r="H30" s="729">
        <f>(237.3*LN(((H27*100)/0.61078)))/(17.27-(LN(((H27*100)/0.61078))))</f>
        <v>58.241497101406821</v>
      </c>
      <c r="I30" s="730" t="s">
        <v>7</v>
      </c>
      <c r="J30" s="43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 x14ac:dyDescent="0.25">
      <c r="D31" s="5"/>
      <c r="G31" s="5"/>
      <c r="H31" s="5"/>
      <c r="I31" s="390"/>
      <c r="L31" s="141"/>
      <c r="M31" s="59">
        <f>M28*1000/60</f>
        <v>23.935179019171105</v>
      </c>
      <c r="N31" s="145" t="s">
        <v>49</v>
      </c>
      <c r="O31" s="142" t="s">
        <v>31</v>
      </c>
      <c r="P31" s="147">
        <f>P28</f>
        <v>60.724171820909902</v>
      </c>
      <c r="Q31" s="64">
        <f>Q7</f>
        <v>1.0149999999999999</v>
      </c>
      <c r="S31" s="63"/>
      <c r="T31" s="102"/>
      <c r="U31" s="131"/>
      <c r="V31" s="128"/>
      <c r="W31" s="53"/>
      <c r="X31" s="122"/>
    </row>
    <row r="32" spans="3:24" ht="20" thickBot="1" x14ac:dyDescent="0.3">
      <c r="D32" s="119">
        <f>E16</f>
        <v>1</v>
      </c>
      <c r="E32" s="118" t="s">
        <v>165</v>
      </c>
      <c r="F32" s="116"/>
      <c r="J32" s="5"/>
      <c r="K32" s="5"/>
      <c r="L32" s="141"/>
      <c r="M32" s="147">
        <f>M23*((P32+273)/(P7+273))*(Q23/Q32)</f>
        <v>19.618611180020967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4" ht="16" thickBot="1" x14ac:dyDescent="0.25">
      <c r="C33" s="2"/>
      <c r="D33" s="120"/>
      <c r="E33" s="2"/>
      <c r="F33" s="121"/>
      <c r="J33" s="5"/>
      <c r="K33" s="5"/>
      <c r="L33" s="141"/>
      <c r="M33" s="147">
        <f>M23*((P33+273)/(P7+273))*(Q23/Q33)</f>
        <v>21.055872072330196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4" ht="19" x14ac:dyDescent="0.25">
      <c r="B34" s="70">
        <f>I20</f>
        <v>60.724171820909902</v>
      </c>
      <c r="C34" s="90" t="s">
        <v>7</v>
      </c>
      <c r="D34" s="110"/>
      <c r="E34" s="2"/>
      <c r="F34" s="114"/>
      <c r="G34" s="199">
        <f>I14</f>
        <v>145.64049091688548</v>
      </c>
      <c r="H34" s="68" t="s">
        <v>7</v>
      </c>
      <c r="I34" s="68"/>
      <c r="J34" s="5"/>
      <c r="K34" s="5"/>
      <c r="L34" s="141"/>
      <c r="M34" s="147">
        <f>M23*2.119*((273+P34)/(273+P7))*(Q23/Q34)</f>
        <v>44.61739292126768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52"/>
      <c r="U34" s="131"/>
      <c r="V34" s="128"/>
      <c r="W34" s="53"/>
      <c r="X34" s="122"/>
    </row>
    <row r="35" spans="2:24" ht="20" thickBot="1" x14ac:dyDescent="0.3">
      <c r="B35" s="264">
        <f>I10</f>
        <v>4.2994094879999993</v>
      </c>
      <c r="C35" s="68" t="s">
        <v>85</v>
      </c>
      <c r="D35" s="111"/>
      <c r="E35" s="2"/>
      <c r="F35" s="112"/>
      <c r="G35" s="200">
        <f>I10</f>
        <v>4.2994094879999993</v>
      </c>
      <c r="H35" s="68" t="s">
        <v>85</v>
      </c>
      <c r="I35" s="68"/>
      <c r="J35" s="5"/>
      <c r="K35" s="5"/>
      <c r="L35" s="148"/>
      <c r="M35" s="195">
        <f>M34/60</f>
        <v>0.7436232153544613</v>
      </c>
      <c r="N35" s="196" t="s">
        <v>28</v>
      </c>
      <c r="O35" s="150" t="s">
        <v>31</v>
      </c>
      <c r="P35" s="149">
        <v>20</v>
      </c>
      <c r="Q35" s="151">
        <v>1.0129999999999999</v>
      </c>
      <c r="R35" s="5"/>
      <c r="S35" s="86"/>
      <c r="T35" s="197"/>
      <c r="U35" s="198"/>
      <c r="V35" s="132"/>
      <c r="W35" s="87"/>
      <c r="X35" s="124"/>
    </row>
    <row r="36" spans="2:24" ht="20" thickBot="1" x14ac:dyDescent="0.3">
      <c r="B36" s="69"/>
      <c r="C36" s="69"/>
      <c r="D36" s="112"/>
      <c r="E36" s="2"/>
      <c r="F36" s="112"/>
      <c r="G36" s="69"/>
      <c r="H36" s="69"/>
      <c r="I36" s="69"/>
      <c r="J36" s="5"/>
      <c r="K36" s="5"/>
      <c r="L36" s="5"/>
      <c r="M36" s="344"/>
      <c r="N36" s="4"/>
      <c r="O36" s="173"/>
      <c r="P36" s="173"/>
      <c r="Q36" s="5"/>
      <c r="R36" s="5"/>
      <c r="S36" s="5"/>
    </row>
    <row r="37" spans="2:24" ht="19" x14ac:dyDescent="0.25">
      <c r="B37" s="180">
        <f>E14</f>
        <v>15</v>
      </c>
      <c r="C37" s="89" t="s">
        <v>7</v>
      </c>
      <c r="D37" s="112"/>
      <c r="E37" s="2"/>
      <c r="F37" s="112"/>
      <c r="G37" s="346">
        <f>E22</f>
        <v>16.071229429887303</v>
      </c>
      <c r="H37" s="67" t="s">
        <v>7</v>
      </c>
      <c r="I37" s="69"/>
      <c r="J37" s="174"/>
      <c r="K37" s="174"/>
      <c r="L37" s="378" t="s">
        <v>195</v>
      </c>
      <c r="M37" s="366"/>
      <c r="N37" s="367"/>
      <c r="O37" s="379"/>
      <c r="P37" s="806">
        <f>IF(E16&gt;0,((100-E21)/100)*I6/'Input-Results'!D7,I6/'Input-Results'!D7)</f>
        <v>0.15839999999999999</v>
      </c>
      <c r="Q37" s="380" t="s">
        <v>194</v>
      </c>
      <c r="R37" s="5"/>
    </row>
    <row r="38" spans="2:24" ht="20" thickBot="1" x14ac:dyDescent="0.3">
      <c r="B38" s="180">
        <f>E10</f>
        <v>500</v>
      </c>
      <c r="C38" s="67" t="s">
        <v>166</v>
      </c>
      <c r="D38" s="113"/>
      <c r="E38" s="2"/>
      <c r="F38" s="115"/>
      <c r="G38" s="180">
        <f>B38</f>
        <v>500</v>
      </c>
      <c r="H38" s="67" t="s">
        <v>166</v>
      </c>
      <c r="I38" s="69"/>
      <c r="J38" s="178"/>
      <c r="K38" s="179"/>
      <c r="L38" s="381"/>
      <c r="M38" s="382"/>
      <c r="N38" s="383"/>
      <c r="O38" s="383"/>
      <c r="P38" s="515">
        <f>P37*'Input-Results'!D7</f>
        <v>2.8536203519999996</v>
      </c>
      <c r="Q38" s="385" t="s">
        <v>2</v>
      </c>
      <c r="R38" s="5"/>
    </row>
    <row r="39" spans="2:24" ht="16" thickBot="1" x14ac:dyDescent="0.25">
      <c r="D39" s="120"/>
      <c r="E39" s="2"/>
      <c r="F39" s="121"/>
      <c r="J39" s="5"/>
      <c r="K39" s="5"/>
      <c r="L39" s="402" t="s">
        <v>204</v>
      </c>
      <c r="M39" s="403"/>
      <c r="N39" s="361"/>
      <c r="O39" s="404"/>
      <c r="P39" s="507">
        <f>(I6-P38)/'Input-Results'!D7</f>
        <v>0</v>
      </c>
      <c r="Q39" s="97" t="s">
        <v>194</v>
      </c>
      <c r="R39" s="5"/>
      <c r="S39" s="389"/>
      <c r="T39" s="5"/>
    </row>
    <row r="40" spans="2:24" ht="20" thickBot="1" x14ac:dyDescent="0.3">
      <c r="D40" s="100" t="s">
        <v>61</v>
      </c>
      <c r="E40" s="117">
        <f>E19+P40</f>
        <v>37.359126367319668</v>
      </c>
      <c r="F40" s="101" t="s">
        <v>1</v>
      </c>
      <c r="J40" s="5"/>
      <c r="K40" s="5"/>
      <c r="L40" s="381" t="s">
        <v>205</v>
      </c>
      <c r="M40" s="382"/>
      <c r="N40" s="383"/>
      <c r="O40" s="405"/>
      <c r="P40" s="409">
        <f>IF(E16&gt;0,P39*39000/60,0)</f>
        <v>0</v>
      </c>
      <c r="Q40" s="385" t="s">
        <v>1</v>
      </c>
      <c r="R40" s="5"/>
      <c r="S40" s="5"/>
      <c r="T40" s="5"/>
    </row>
    <row r="41" spans="2:24" x14ac:dyDescent="0.2">
      <c r="J41" s="5"/>
      <c r="K41" s="5"/>
    </row>
    <row r="42" spans="2:24" x14ac:dyDescent="0.2">
      <c r="J42" s="5"/>
      <c r="K42" s="5"/>
    </row>
    <row r="43" spans="2:24" ht="13.75" customHeight="1" x14ac:dyDescent="0.2"/>
  </sheetData>
  <mergeCells count="4">
    <mergeCell ref="C28:F28"/>
    <mergeCell ref="G28:J28"/>
    <mergeCell ref="C29:F29"/>
    <mergeCell ref="G29:J29"/>
  </mergeCells>
  <conditionalFormatting sqref="C29 G29">
    <cfRule type="cellIs" dxfId="9" priority="1" operator="equal">
      <formula>"NO CONDENSATION"</formula>
    </cfRule>
    <cfRule type="cellIs" dxfId="8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27">
    <pageSetUpPr fitToPage="1"/>
  </sheetPr>
  <dimension ref="B1:X43"/>
  <sheetViews>
    <sheetView zoomScale="78" zoomScaleNormal="78" workbookViewId="0">
      <selection activeCell="L42" sqref="L42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bestFit="1" customWidth="1"/>
    <col min="15" max="15" width="2.83203125" style="3" bestFit="1" customWidth="1"/>
    <col min="16" max="16" width="8.33203125" customWidth="1"/>
    <col min="17" max="17" width="7.83203125" customWidth="1"/>
    <col min="18" max="18" width="1.5" customWidth="1"/>
    <col min="19" max="19" width="22.3320312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433</v>
      </c>
    </row>
    <row r="3" spans="3:24" ht="6.5" customHeight="1" thickBot="1" x14ac:dyDescent="0.25"/>
    <row r="4" spans="3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277</v>
      </c>
      <c r="D6" s="53"/>
      <c r="E6" s="152">
        <f>Condensers!N7</f>
        <v>500</v>
      </c>
      <c r="F6" s="122" t="s">
        <v>2</v>
      </c>
      <c r="G6" s="141" t="s">
        <v>277</v>
      </c>
      <c r="H6" s="57"/>
      <c r="I6" s="146">
        <f>'CON1.1'!P38</f>
        <v>2.8536203519999996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 x14ac:dyDescent="0.2">
      <c r="C7" s="63"/>
      <c r="D7" s="53"/>
      <c r="E7" s="152"/>
      <c r="F7" s="122"/>
      <c r="G7" s="141" t="s">
        <v>65</v>
      </c>
      <c r="H7" s="57"/>
      <c r="I7" s="146">
        <f>Condensers!M8</f>
        <v>1.4457891359999999</v>
      </c>
      <c r="J7" s="64" t="s">
        <v>2</v>
      </c>
      <c r="L7" s="141" t="s">
        <v>163</v>
      </c>
      <c r="M7" s="146">
        <f>I6</f>
        <v>2.8536203519999996</v>
      </c>
      <c r="N7" s="145" t="s">
        <v>2</v>
      </c>
      <c r="O7" s="142" t="s">
        <v>31</v>
      </c>
      <c r="P7" s="147">
        <f>I14</f>
        <v>60.724171820909902</v>
      </c>
      <c r="Q7" s="64">
        <f>Condensers!M13</f>
        <v>1.0149999999999999</v>
      </c>
      <c r="S7" s="63" t="s">
        <v>163</v>
      </c>
      <c r="T7" s="53">
        <f>E6</f>
        <v>500</v>
      </c>
      <c r="U7" s="131" t="s">
        <v>2</v>
      </c>
      <c r="V7" s="128" t="s">
        <v>31</v>
      </c>
      <c r="W7" s="102">
        <f>E22</f>
        <v>17.983342543895908</v>
      </c>
      <c r="X7" s="723">
        <f>Condensers!N13</f>
        <v>3</v>
      </c>
    </row>
    <row r="8" spans="3:24" x14ac:dyDescent="0.2">
      <c r="C8" s="63"/>
      <c r="D8" s="53"/>
      <c r="E8" s="53"/>
      <c r="F8" s="122"/>
      <c r="G8" s="141"/>
      <c r="H8" s="57"/>
      <c r="I8" s="146"/>
      <c r="J8" s="64"/>
      <c r="L8" s="141"/>
      <c r="M8" s="337">
        <f>M7/1000/60</f>
        <v>4.7560339199999996E-5</v>
      </c>
      <c r="N8" s="145" t="s">
        <v>3</v>
      </c>
      <c r="O8" s="142" t="s">
        <v>31</v>
      </c>
      <c r="P8" s="147">
        <f>P7</f>
        <v>60.724171820909902</v>
      </c>
      <c r="Q8" s="64">
        <f>Q7</f>
        <v>1.0149999999999999</v>
      </c>
      <c r="S8" s="63"/>
      <c r="T8" s="55">
        <f>T7/1000/60</f>
        <v>8.3333333333333332E-3</v>
      </c>
      <c r="U8" s="131" t="s">
        <v>3</v>
      </c>
      <c r="V8" s="128" t="s">
        <v>31</v>
      </c>
      <c r="W8" s="102">
        <f>W7</f>
        <v>17.983342543895908</v>
      </c>
      <c r="X8" s="122">
        <f>X7</f>
        <v>3</v>
      </c>
    </row>
    <row r="9" spans="3:24" x14ac:dyDescent="0.2">
      <c r="C9" s="63"/>
      <c r="D9" s="53"/>
      <c r="E9" s="53"/>
      <c r="F9" s="122"/>
      <c r="G9" s="141"/>
      <c r="H9" s="57"/>
      <c r="I9" s="146"/>
      <c r="J9" s="64"/>
      <c r="L9" s="141" t="s">
        <v>90</v>
      </c>
      <c r="M9" s="146">
        <f>I7</f>
        <v>1.4457891359999999</v>
      </c>
      <c r="N9" s="145" t="s">
        <v>2</v>
      </c>
      <c r="O9" s="142" t="s">
        <v>31</v>
      </c>
      <c r="P9" s="147">
        <f>P8</f>
        <v>60.724171820909902</v>
      </c>
      <c r="Q9" s="64">
        <f>Q8</f>
        <v>1.0149999999999999</v>
      </c>
      <c r="S9" s="63"/>
      <c r="T9" s="152"/>
      <c r="U9" s="131"/>
      <c r="V9" s="128"/>
      <c r="W9" s="53"/>
      <c r="X9" s="122"/>
    </row>
    <row r="10" spans="3:24" x14ac:dyDescent="0.2">
      <c r="C10" s="63" t="s">
        <v>45</v>
      </c>
      <c r="D10" s="53"/>
      <c r="E10" s="102">
        <f>E6+E7</f>
        <v>500</v>
      </c>
      <c r="F10" s="122" t="s">
        <v>2</v>
      </c>
      <c r="G10" s="141" t="s">
        <v>45</v>
      </c>
      <c r="H10" s="57"/>
      <c r="I10" s="146">
        <f>I6+I7</f>
        <v>4.2994094879999993</v>
      </c>
      <c r="J10" s="64" t="s">
        <v>2</v>
      </c>
      <c r="L10" s="141"/>
      <c r="M10" s="337">
        <f>M9/1000/60</f>
        <v>2.4096485600000001E-5</v>
      </c>
      <c r="N10" s="145" t="s">
        <v>3</v>
      </c>
      <c r="O10" s="142" t="s">
        <v>31</v>
      </c>
      <c r="P10" s="147">
        <f>P7</f>
        <v>60.724171820909902</v>
      </c>
      <c r="Q10" s="64">
        <f>Q7</f>
        <v>1.0149999999999999</v>
      </c>
      <c r="S10" s="63"/>
      <c r="T10" s="55"/>
      <c r="U10" s="131"/>
      <c r="V10" s="128"/>
      <c r="W10" s="53"/>
      <c r="X10" s="122"/>
    </row>
    <row r="11" spans="3:24" x14ac:dyDescent="0.2">
      <c r="C11" s="63" t="s">
        <v>45</v>
      </c>
      <c r="D11" s="53"/>
      <c r="E11" s="338">
        <f>E10/1000/60</f>
        <v>8.3333333333333332E-3</v>
      </c>
      <c r="F11" s="122" t="s">
        <v>3</v>
      </c>
      <c r="G11" s="141" t="s">
        <v>46</v>
      </c>
      <c r="H11" s="57"/>
      <c r="I11" s="337">
        <f>I10/1000/60</f>
        <v>7.1656824799999993E-5</v>
      </c>
      <c r="J11" s="64" t="s">
        <v>3</v>
      </c>
      <c r="L11" s="141"/>
      <c r="M11" s="146"/>
      <c r="N11" s="145"/>
      <c r="O11" s="142"/>
      <c r="P11" s="147"/>
      <c r="Q11" s="64"/>
      <c r="S11" s="63"/>
      <c r="T11" s="53"/>
      <c r="U11" s="53"/>
      <c r="V11" s="53"/>
      <c r="W11" s="53"/>
      <c r="X11" s="122"/>
    </row>
    <row r="12" spans="3:24" ht="17" x14ac:dyDescent="0.25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2'!S7</f>
        <v>6139.7118794888756</v>
      </c>
      <c r="J12" s="64" t="s">
        <v>0</v>
      </c>
      <c r="L12" s="141"/>
      <c r="M12" s="337"/>
      <c r="N12" s="145"/>
      <c r="O12" s="142"/>
      <c r="P12" s="147"/>
      <c r="Q12" s="64"/>
      <c r="S12" s="63"/>
      <c r="T12" s="53"/>
      <c r="U12" s="53"/>
      <c r="V12" s="53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0.43995225847101305</v>
      </c>
      <c r="J13" s="64" t="s">
        <v>8</v>
      </c>
      <c r="L13" s="141"/>
      <c r="M13" s="337"/>
      <c r="N13" s="145"/>
      <c r="O13" s="142"/>
      <c r="P13" s="147"/>
      <c r="Q13" s="64"/>
      <c r="S13" s="63"/>
      <c r="T13" s="53"/>
      <c r="U13" s="53"/>
      <c r="V13" s="53"/>
      <c r="W13" s="53"/>
      <c r="X13" s="122"/>
    </row>
    <row r="14" spans="3:24" ht="18" thickBot="1" x14ac:dyDescent="0.3">
      <c r="C14" s="86" t="s">
        <v>580</v>
      </c>
      <c r="D14" s="87" t="s">
        <v>16</v>
      </c>
      <c r="E14" s="165">
        <f>Condensers!D17</f>
        <v>15</v>
      </c>
      <c r="F14" s="124" t="s">
        <v>7</v>
      </c>
      <c r="G14" s="148" t="s">
        <v>579</v>
      </c>
      <c r="H14" s="149" t="s">
        <v>17</v>
      </c>
      <c r="I14" s="445">
        <f>'CON1.1'!I20</f>
        <v>60.724171820909902</v>
      </c>
      <c r="J14" s="151" t="s">
        <v>7</v>
      </c>
      <c r="L14" s="141"/>
      <c r="M14" s="337"/>
      <c r="N14" s="145"/>
      <c r="O14" s="142"/>
      <c r="P14" s="147"/>
      <c r="Q14" s="64"/>
      <c r="S14" s="63"/>
      <c r="T14" s="53"/>
      <c r="U14" s="53"/>
      <c r="V14" s="53"/>
      <c r="W14" s="53"/>
      <c r="X14" s="122"/>
    </row>
    <row r="15" spans="3:24" x14ac:dyDescent="0.2">
      <c r="C15" s="83" t="s">
        <v>169</v>
      </c>
      <c r="D15" s="84" t="s">
        <v>15</v>
      </c>
      <c r="E15" s="260">
        <f>Condensers!D28</f>
        <v>0.8</v>
      </c>
      <c r="F15" s="260"/>
      <c r="G15" s="450"/>
      <c r="H15" s="450"/>
      <c r="I15" s="450"/>
      <c r="J15" s="451"/>
      <c r="L15" s="141"/>
      <c r="M15" s="337"/>
      <c r="N15" s="145"/>
      <c r="O15" s="142"/>
      <c r="P15" s="147"/>
      <c r="Q15" s="64"/>
      <c r="S15" s="63"/>
      <c r="T15" s="53"/>
      <c r="U15" s="53"/>
      <c r="V15" s="53"/>
      <c r="W15" s="53"/>
      <c r="X15" s="122"/>
    </row>
    <row r="16" spans="3:24" x14ac:dyDescent="0.2">
      <c r="C16" s="83" t="s">
        <v>188</v>
      </c>
      <c r="D16" s="85" t="s">
        <v>53</v>
      </c>
      <c r="E16" s="260">
        <f>Condensers!D21</f>
        <v>1</v>
      </c>
      <c r="F16" s="61" t="s">
        <v>63</v>
      </c>
      <c r="G16" s="62"/>
      <c r="H16" s="62"/>
      <c r="I16" s="62"/>
      <c r="J16" s="66"/>
      <c r="L16" s="141" t="s">
        <v>164</v>
      </c>
      <c r="M16" s="146">
        <f>(1/461.52)*(100000*Q16/(P16+273))</f>
        <v>0.65900369902853506</v>
      </c>
      <c r="N16" s="145" t="s">
        <v>23</v>
      </c>
      <c r="O16" s="142" t="s">
        <v>31</v>
      </c>
      <c r="P16" s="147">
        <f>P7</f>
        <v>60.724171820909902</v>
      </c>
      <c r="Q16" s="64">
        <f>Q7</f>
        <v>1.0149999999999999</v>
      </c>
      <c r="S16" s="63" t="s">
        <v>164</v>
      </c>
      <c r="T16" s="152">
        <v>1000</v>
      </c>
      <c r="U16" s="131" t="s">
        <v>23</v>
      </c>
      <c r="V16" s="128" t="str">
        <f>V7</f>
        <v>@</v>
      </c>
      <c r="W16" s="102">
        <f>W7</f>
        <v>17.983342543895908</v>
      </c>
      <c r="X16" s="723">
        <f>X7</f>
        <v>3</v>
      </c>
    </row>
    <row r="17" spans="3:24" x14ac:dyDescent="0.2">
      <c r="C17" s="83" t="s">
        <v>56</v>
      </c>
      <c r="D17" s="85" t="s">
        <v>57</v>
      </c>
      <c r="E17" s="103">
        <f>MIN(E13,I13)/MAX(E13:I13)</f>
        <v>1.2615118522466323E-2</v>
      </c>
      <c r="F17" s="61"/>
      <c r="G17" s="62"/>
      <c r="H17" s="62"/>
      <c r="I17" s="62"/>
      <c r="J17" s="66"/>
      <c r="L17" s="141" t="s">
        <v>91</v>
      </c>
      <c r="M17" s="146">
        <f>(1/4124.2)*(100000*Q17/(P17+273))</f>
        <v>7.3746032485245513E-2</v>
      </c>
      <c r="N17" s="145" t="s">
        <v>23</v>
      </c>
      <c r="O17" s="142" t="s">
        <v>31</v>
      </c>
      <c r="P17" s="147">
        <f>P8</f>
        <v>60.724171820909902</v>
      </c>
      <c r="Q17" s="64">
        <f>Q7</f>
        <v>1.0149999999999999</v>
      </c>
      <c r="S17" s="63"/>
      <c r="T17" s="53"/>
      <c r="U17" s="53"/>
      <c r="V17" s="53"/>
      <c r="W17" s="53"/>
      <c r="X17" s="122"/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0.79999999999999993</v>
      </c>
      <c r="F18" s="61" t="s">
        <v>60</v>
      </c>
      <c r="G18" s="62"/>
      <c r="H18" s="62"/>
      <c r="I18" s="62"/>
      <c r="J18" s="66"/>
      <c r="L18" s="141"/>
      <c r="M18" s="146"/>
      <c r="N18" s="145"/>
      <c r="O18" s="142"/>
      <c r="P18" s="147"/>
      <c r="Q18" s="64"/>
      <c r="S18" s="63"/>
      <c r="T18" s="338"/>
      <c r="U18" s="131"/>
      <c r="V18" s="128"/>
      <c r="W18" s="53"/>
      <c r="X18" s="122"/>
    </row>
    <row r="19" spans="3:24" ht="17" x14ac:dyDescent="0.25">
      <c r="C19" s="65" t="s">
        <v>14</v>
      </c>
      <c r="D19" s="60" t="s">
        <v>18</v>
      </c>
      <c r="E19" s="105">
        <f>E18*MIN(E13,I13)*(I14-E14)</f>
        <v>16.093162127460769</v>
      </c>
      <c r="F19" s="61" t="s">
        <v>1</v>
      </c>
      <c r="G19" s="62" t="s">
        <v>22</v>
      </c>
      <c r="H19" s="62"/>
      <c r="I19" s="62"/>
      <c r="J19" s="66"/>
      <c r="L19" s="141"/>
      <c r="M19" s="146"/>
      <c r="N19" s="145"/>
      <c r="O19" s="142"/>
      <c r="P19" s="147"/>
      <c r="Q19" s="64"/>
      <c r="S19" s="63"/>
      <c r="T19" s="53"/>
      <c r="U19" s="128"/>
      <c r="V19" s="128"/>
      <c r="W19" s="129"/>
      <c r="X19" s="130"/>
    </row>
    <row r="20" spans="3:24" ht="17" x14ac:dyDescent="0.25">
      <c r="C20" s="287" t="s">
        <v>581</v>
      </c>
      <c r="D20" s="106" t="s">
        <v>20</v>
      </c>
      <c r="E20" s="444">
        <f>E14+E19/E13</f>
        <v>15.461452677489914</v>
      </c>
      <c r="F20" s="289" t="s">
        <v>7</v>
      </c>
      <c r="G20" s="57" t="s">
        <v>582</v>
      </c>
      <c r="H20" s="57" t="s">
        <v>21</v>
      </c>
      <c r="I20" s="147">
        <f>I14-E19/I13</f>
        <v>24.144834364181989</v>
      </c>
      <c r="J20" s="64" t="s">
        <v>7</v>
      </c>
      <c r="L20" s="387" t="s">
        <v>629</v>
      </c>
      <c r="M20" s="245">
        <f>1/(((I6/I10)/M16)+((I7/I10)/M17))</f>
        <v>0.17962721250408648</v>
      </c>
      <c r="N20" s="145" t="s">
        <v>23</v>
      </c>
      <c r="O20" s="142" t="s">
        <v>31</v>
      </c>
      <c r="P20" s="147">
        <f>P7</f>
        <v>60.724171820909902</v>
      </c>
      <c r="Q20" s="64">
        <f>Q7</f>
        <v>1.0149999999999999</v>
      </c>
      <c r="S20" s="63"/>
      <c r="T20" s="53"/>
      <c r="U20" s="128"/>
      <c r="V20" s="128"/>
      <c r="W20" s="129"/>
      <c r="X20" s="130"/>
    </row>
    <row r="21" spans="3:24" x14ac:dyDescent="0.2">
      <c r="C21" s="287" t="s">
        <v>278</v>
      </c>
      <c r="D21" s="106"/>
      <c r="E21" s="732">
        <v>92.424242424242422</v>
      </c>
      <c r="F21" s="53" t="s">
        <v>77</v>
      </c>
      <c r="G21" s="107" t="s">
        <v>279</v>
      </c>
      <c r="H21" s="107"/>
      <c r="I21" s="201">
        <f>IF(E16=0,0,100*(H30-I20)/(I14-I20))</f>
        <v>93.212904081600698</v>
      </c>
      <c r="J21" s="108" t="s">
        <v>77</v>
      </c>
      <c r="L21" s="387"/>
      <c r="M21" s="245"/>
      <c r="N21" s="145"/>
      <c r="O21" s="142"/>
      <c r="P21" s="147"/>
      <c r="Q21" s="64"/>
      <c r="S21" s="63"/>
      <c r="T21" s="53"/>
      <c r="U21" s="128"/>
      <c r="V21" s="128"/>
      <c r="W21" s="129"/>
      <c r="X21" s="130"/>
    </row>
    <row r="22" spans="3:24" ht="16" thickBot="1" x14ac:dyDescent="0.25">
      <c r="C22" s="86" t="s">
        <v>271</v>
      </c>
      <c r="D22" s="87"/>
      <c r="E22" s="165">
        <f>IF((P40&gt;0)*AND(E16&gt;0),E20+(E21/100)*(P40/(E12*(E6/1000/60))),E20)</f>
        <v>17.983342543895908</v>
      </c>
      <c r="F22" s="87" t="s">
        <v>7</v>
      </c>
      <c r="G22" s="149"/>
      <c r="H22" s="149"/>
      <c r="I22" s="445"/>
      <c r="J22" s="151"/>
      <c r="L22" s="141" t="s">
        <v>184</v>
      </c>
      <c r="M22" s="147">
        <f>(3600*M8/M16)+(3600*M10/M17)</f>
        <v>1.4361107411502663</v>
      </c>
      <c r="N22" s="145" t="s">
        <v>25</v>
      </c>
      <c r="O22" s="142" t="s">
        <v>31</v>
      </c>
      <c r="P22" s="147">
        <f>P7</f>
        <v>60.724171820909902</v>
      </c>
      <c r="Q22" s="64">
        <f>Q7</f>
        <v>1.0149999999999999</v>
      </c>
      <c r="S22" s="63" t="s">
        <v>568</v>
      </c>
      <c r="T22" s="55">
        <f>(3600*T8/T16)</f>
        <v>0.03</v>
      </c>
      <c r="U22" s="131" t="s">
        <v>25</v>
      </c>
      <c r="V22" s="128" t="str">
        <f>V7</f>
        <v>@</v>
      </c>
      <c r="W22" s="102">
        <f>W7</f>
        <v>17.983342543895908</v>
      </c>
      <c r="X22" s="723">
        <f>X7</f>
        <v>3</v>
      </c>
    </row>
    <row r="23" spans="3:24" ht="16" thickBot="1" x14ac:dyDescent="0.25">
      <c r="C23" s="5"/>
      <c r="D23" s="5"/>
      <c r="E23" s="5"/>
      <c r="F23" s="5"/>
      <c r="G23" s="5"/>
      <c r="H23" s="5"/>
      <c r="I23" s="5"/>
      <c r="J23" s="5"/>
      <c r="L23" s="141"/>
      <c r="M23" s="59">
        <f>M22*1000/60</f>
        <v>23.935179019171105</v>
      </c>
      <c r="N23" s="145" t="s">
        <v>49</v>
      </c>
      <c r="O23" s="142" t="s">
        <v>31</v>
      </c>
      <c r="P23" s="147">
        <f>P7</f>
        <v>60.724171820909902</v>
      </c>
      <c r="Q23" s="64">
        <f>Q7</f>
        <v>1.0149999999999999</v>
      </c>
      <c r="S23" s="63"/>
      <c r="T23" s="152">
        <f>T22*1000/60</f>
        <v>0.5</v>
      </c>
      <c r="U23" s="131" t="s">
        <v>49</v>
      </c>
      <c r="V23" s="128" t="str">
        <f>V7</f>
        <v>@</v>
      </c>
      <c r="W23" s="102">
        <f>W7</f>
        <v>17.983342543895908</v>
      </c>
      <c r="X23" s="723">
        <f>X7</f>
        <v>3</v>
      </c>
    </row>
    <row r="24" spans="3:24" x14ac:dyDescent="0.2">
      <c r="C24" s="365" t="s">
        <v>181</v>
      </c>
      <c r="D24" s="366" t="s">
        <v>182</v>
      </c>
      <c r="E24" s="367"/>
      <c r="F24" s="367"/>
      <c r="G24" s="366"/>
      <c r="H24" s="366"/>
      <c r="I24" s="366"/>
      <c r="J24" s="368"/>
      <c r="L24" s="141"/>
      <c r="M24" s="57"/>
      <c r="N24" s="142"/>
      <c r="O24" s="142"/>
      <c r="P24" s="143"/>
      <c r="Q24" s="144"/>
      <c r="S24" s="63"/>
      <c r="T24" s="53"/>
      <c r="U24" s="128"/>
      <c r="V24" s="128"/>
      <c r="W24" s="129"/>
      <c r="X24" s="130"/>
    </row>
    <row r="25" spans="3:24" x14ac:dyDescent="0.2">
      <c r="C25" s="213" t="s">
        <v>179</v>
      </c>
      <c r="D25" s="360">
        <f>I14</f>
        <v>60.724171820909902</v>
      </c>
      <c r="E25" s="371" t="s">
        <v>7</v>
      </c>
      <c r="F25" s="361"/>
      <c r="G25" s="93" t="s">
        <v>180</v>
      </c>
      <c r="H25" s="309">
        <f>I20</f>
        <v>24.144834364181989</v>
      </c>
      <c r="I25" s="374" t="s">
        <v>7</v>
      </c>
      <c r="J25" s="369"/>
      <c r="L25" s="141" t="s">
        <v>191</v>
      </c>
      <c r="M25" s="146">
        <f>M22*(I20+273)/(I14+273)</f>
        <v>1.2786993701394844</v>
      </c>
      <c r="N25" s="145" t="s">
        <v>25</v>
      </c>
      <c r="O25" s="142" t="s">
        <v>31</v>
      </c>
      <c r="P25" s="147">
        <f>I20</f>
        <v>24.144834364181989</v>
      </c>
      <c r="Q25" s="64">
        <f>Q8</f>
        <v>1.0149999999999999</v>
      </c>
      <c r="S25" s="63" t="s">
        <v>184</v>
      </c>
      <c r="T25" s="152">
        <f>T22*(W25+273)/(W22+273)</f>
        <v>2.9692421306544807E-2</v>
      </c>
      <c r="U25" s="131" t="s">
        <v>25</v>
      </c>
      <c r="V25" s="128" t="s">
        <v>31</v>
      </c>
      <c r="W25" s="102">
        <f>E14</f>
        <v>15</v>
      </c>
      <c r="X25" s="122">
        <f>X7</f>
        <v>3</v>
      </c>
    </row>
    <row r="26" spans="3:24" x14ac:dyDescent="0.2">
      <c r="C26" s="96" t="s">
        <v>178</v>
      </c>
      <c r="D26" s="94">
        <f>0.01*0.61078*EXP((17.27*D25)/(D25+237.3))</f>
        <v>0.20611419662085018</v>
      </c>
      <c r="E26" s="372" t="s">
        <v>177</v>
      </c>
      <c r="F26" s="359"/>
      <c r="G26" s="93" t="s">
        <v>178</v>
      </c>
      <c r="H26" s="98">
        <f>0.01*0.61078*EXP((17.27*H25)/(H25+237.3))</f>
        <v>3.0098574854273946E-2</v>
      </c>
      <c r="I26" s="374" t="s">
        <v>177</v>
      </c>
      <c r="J26" s="369"/>
      <c r="L26" s="141"/>
      <c r="M26" s="59">
        <f>M25*1000/60</f>
        <v>21.311656168991409</v>
      </c>
      <c r="N26" s="145" t="s">
        <v>49</v>
      </c>
      <c r="O26" s="142" t="s">
        <v>31</v>
      </c>
      <c r="P26" s="147">
        <f>P25</f>
        <v>24.144834364181989</v>
      </c>
      <c r="Q26" s="64">
        <f>Q7</f>
        <v>1.0149999999999999</v>
      </c>
      <c r="S26" s="63"/>
      <c r="T26" s="152">
        <f>T25*1000/60</f>
        <v>0.49487368844241347</v>
      </c>
      <c r="U26" s="131" t="s">
        <v>49</v>
      </c>
      <c r="V26" s="128" t="s">
        <v>31</v>
      </c>
      <c r="W26" s="102">
        <f>W25</f>
        <v>15</v>
      </c>
      <c r="X26" s="122">
        <f>X25</f>
        <v>3</v>
      </c>
    </row>
    <row r="27" spans="3:24" x14ac:dyDescent="0.2">
      <c r="C27" s="336" t="s">
        <v>183</v>
      </c>
      <c r="D27" s="362">
        <f>(((I6/Condensers!D7)/60)*8.3144598*(D25+273)/(M22/3600))/100000</f>
        <v>0.18362854752557073</v>
      </c>
      <c r="E27" s="373" t="s">
        <v>177</v>
      </c>
      <c r="F27" s="363"/>
      <c r="G27" s="93" t="s">
        <v>183</v>
      </c>
      <c r="H27" s="94">
        <f>(((I6/Condensers!D7)/60)*8.3144598*(H25+273)/(M25/3600))/100000</f>
        <v>0.18362854752557067</v>
      </c>
      <c r="I27" s="374" t="s">
        <v>177</v>
      </c>
      <c r="J27" s="369"/>
      <c r="L27" s="141"/>
      <c r="M27" s="57"/>
      <c r="N27" s="142"/>
      <c r="O27" s="142"/>
      <c r="P27" s="143"/>
      <c r="Q27" s="144"/>
      <c r="S27" s="63"/>
      <c r="T27" s="53"/>
      <c r="U27" s="128"/>
      <c r="V27" s="128"/>
      <c r="W27" s="129"/>
      <c r="X27" s="130"/>
    </row>
    <row r="28" spans="3:24" ht="19" x14ac:dyDescent="0.25">
      <c r="C28" s="839" t="s">
        <v>185</v>
      </c>
      <c r="D28" s="840"/>
      <c r="E28" s="840"/>
      <c r="F28" s="841"/>
      <c r="G28" s="842" t="s">
        <v>186</v>
      </c>
      <c r="H28" s="840"/>
      <c r="I28" s="840"/>
      <c r="J28" s="843"/>
      <c r="L28" s="141" t="s">
        <v>634</v>
      </c>
      <c r="M28" s="146">
        <f>((3600*M10/M17))*(I20+273)/(I14+273)+((100-E21)/100)*((3600*M8/M16))*(I20+273)/(I14+273)</f>
        <v>1.0648903554847171</v>
      </c>
      <c r="N28" s="145" t="s">
        <v>25</v>
      </c>
      <c r="O28" s="142" t="s">
        <v>31</v>
      </c>
      <c r="P28" s="147">
        <f>I20</f>
        <v>24.144834364181989</v>
      </c>
      <c r="Q28" s="64">
        <f>Q7</f>
        <v>1.0149999999999999</v>
      </c>
      <c r="S28" s="63"/>
      <c r="T28" s="53"/>
      <c r="U28" s="53"/>
      <c r="V28" s="53"/>
      <c r="W28" s="53"/>
      <c r="X28" s="122"/>
    </row>
    <row r="29" spans="3:24" ht="20" thickBot="1" x14ac:dyDescent="0.3">
      <c r="C29" s="844" t="str">
        <f>IF(D26&lt;D27,"CONDENSATION","NO CONDENSATION")</f>
        <v>NO CONDENSATION</v>
      </c>
      <c r="D29" s="845"/>
      <c r="E29" s="845"/>
      <c r="F29" s="846"/>
      <c r="G29" s="847" t="str">
        <f>IF(H26&lt;H27,"CONDENSATION","NO CONDENSATION")</f>
        <v>CONDENSATION</v>
      </c>
      <c r="H29" s="845"/>
      <c r="I29" s="845"/>
      <c r="J29" s="848"/>
      <c r="L29" s="141"/>
      <c r="M29" s="57"/>
      <c r="N29" s="142"/>
      <c r="O29" s="142"/>
      <c r="P29" s="143"/>
      <c r="Q29" s="144"/>
      <c r="S29" s="63"/>
      <c r="T29" s="53"/>
      <c r="U29" s="53"/>
      <c r="V29" s="53"/>
      <c r="W29" s="53"/>
      <c r="X29" s="122"/>
    </row>
    <row r="30" spans="3:24" ht="21" customHeight="1" thickBot="1" x14ac:dyDescent="0.25">
      <c r="D30" s="5"/>
      <c r="G30" s="728" t="s">
        <v>231</v>
      </c>
      <c r="H30" s="729">
        <f>(237.3*LN(((H27*100)/0.61078)))/(17.27-(LN(((H27*100)/0.61078))))</f>
        <v>58.241497101406814</v>
      </c>
      <c r="I30" s="730" t="s">
        <v>7</v>
      </c>
      <c r="J30" s="731"/>
      <c r="L30" s="141"/>
      <c r="M30" s="57"/>
      <c r="N30" s="142"/>
      <c r="O30" s="142"/>
      <c r="P30" s="143"/>
      <c r="Q30" s="144"/>
      <c r="S30" s="63"/>
      <c r="T30" s="53"/>
      <c r="U30" s="53"/>
      <c r="V30" s="53"/>
      <c r="W30" s="53"/>
      <c r="X30" s="122"/>
    </row>
    <row r="31" spans="3:24" ht="16" thickBot="1" x14ac:dyDescent="0.25">
      <c r="D31" s="5"/>
      <c r="G31" s="5"/>
      <c r="H31" s="5"/>
      <c r="I31" s="390"/>
      <c r="L31" s="141"/>
      <c r="M31" s="59">
        <f>M28*1000/60</f>
        <v>17.748172591411951</v>
      </c>
      <c r="N31" s="145" t="s">
        <v>49</v>
      </c>
      <c r="O31" s="142" t="s">
        <v>31</v>
      </c>
      <c r="P31" s="147">
        <f>P28</f>
        <v>24.144834364181989</v>
      </c>
      <c r="Q31" s="64">
        <f>Q7</f>
        <v>1.0149999999999999</v>
      </c>
      <c r="S31" s="63"/>
      <c r="T31" s="53"/>
      <c r="U31" s="53"/>
      <c r="V31" s="53"/>
      <c r="W31" s="53"/>
      <c r="X31" s="122"/>
    </row>
    <row r="32" spans="3:24" ht="20" thickBot="1" x14ac:dyDescent="0.3">
      <c r="D32" s="119">
        <f>E16</f>
        <v>1</v>
      </c>
      <c r="E32" s="118" t="s">
        <v>165</v>
      </c>
      <c r="F32" s="116"/>
      <c r="J32" s="5"/>
      <c r="K32" s="5"/>
      <c r="L32" s="141"/>
      <c r="M32" s="147">
        <f>M23*((P32+273)/(P7+273))*(Q23/Q32)</f>
        <v>19.61861118002097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/>
      <c r="T32" s="53"/>
      <c r="U32" s="53"/>
      <c r="V32" s="53"/>
      <c r="W32" s="53"/>
      <c r="X32" s="122"/>
    </row>
    <row r="33" spans="2:24" ht="16" thickBot="1" x14ac:dyDescent="0.25">
      <c r="C33" s="2"/>
      <c r="D33" s="120"/>
      <c r="E33" s="2"/>
      <c r="F33" s="121"/>
      <c r="J33" s="5"/>
      <c r="K33" s="5"/>
      <c r="L33" s="141"/>
      <c r="M33" s="147">
        <f>M23*((P33+273)/(P7+273))*(Q23/Q33)</f>
        <v>21.0558720723302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4" ht="19" x14ac:dyDescent="0.25">
      <c r="B34" s="70">
        <f>IF(E16=0,I20,H30)</f>
        <v>58.241497101406814</v>
      </c>
      <c r="C34" s="90" t="s">
        <v>7</v>
      </c>
      <c r="D34" s="110"/>
      <c r="E34" s="2"/>
      <c r="F34" s="114"/>
      <c r="G34" s="199">
        <f>I14</f>
        <v>60.724171820909902</v>
      </c>
      <c r="H34" s="68" t="s">
        <v>7</v>
      </c>
      <c r="I34" s="68"/>
      <c r="J34" s="5"/>
      <c r="K34" s="5"/>
      <c r="L34" s="141"/>
      <c r="M34" s="147">
        <f>M23*2.119*((273+P34)/(273+P7))*(Q23/Q34)</f>
        <v>44.617392921267701</v>
      </c>
      <c r="N34" s="145" t="s">
        <v>26</v>
      </c>
      <c r="O34" s="142" t="s">
        <v>31</v>
      </c>
      <c r="P34" s="57">
        <v>20</v>
      </c>
      <c r="Q34" s="64">
        <v>1.0129999999999999</v>
      </c>
      <c r="R34" s="5"/>
      <c r="S34" s="63"/>
      <c r="T34" s="102"/>
      <c r="U34" s="131"/>
      <c r="V34" s="128"/>
      <c r="W34" s="53"/>
      <c r="X34" s="122"/>
    </row>
    <row r="35" spans="2:24" ht="20" thickBot="1" x14ac:dyDescent="0.3">
      <c r="B35" s="264">
        <f>I10</f>
        <v>4.2994094879999993</v>
      </c>
      <c r="C35" s="68" t="s">
        <v>85</v>
      </c>
      <c r="D35" s="111"/>
      <c r="E35" s="2"/>
      <c r="F35" s="112"/>
      <c r="G35" s="200">
        <f>I10</f>
        <v>4.2994094879999993</v>
      </c>
      <c r="H35" s="68" t="s">
        <v>85</v>
      </c>
      <c r="I35" s="68"/>
      <c r="J35" s="5"/>
      <c r="K35" s="5"/>
      <c r="L35" s="148"/>
      <c r="M35" s="195">
        <f>M34/60</f>
        <v>0.74362321535446163</v>
      </c>
      <c r="N35" s="196" t="s">
        <v>28</v>
      </c>
      <c r="O35" s="150" t="s">
        <v>31</v>
      </c>
      <c r="P35" s="149">
        <v>20</v>
      </c>
      <c r="Q35" s="151">
        <v>1.0129999999999999</v>
      </c>
      <c r="R35" s="5"/>
      <c r="S35" s="86"/>
      <c r="T35" s="197"/>
      <c r="U35" s="198"/>
      <c r="V35" s="132"/>
      <c r="W35" s="87"/>
      <c r="X35" s="124"/>
    </row>
    <row r="36" spans="2:24" ht="20" thickBot="1" x14ac:dyDescent="0.3">
      <c r="B36" s="69"/>
      <c r="C36" s="69"/>
      <c r="D36" s="112"/>
      <c r="E36" s="2"/>
      <c r="F36" s="112"/>
      <c r="G36" s="69"/>
      <c r="H36" s="69"/>
      <c r="I36" s="69"/>
      <c r="J36" s="5"/>
      <c r="K36" s="5"/>
      <c r="R36" s="5"/>
      <c r="T36" s="340"/>
    </row>
    <row r="37" spans="2:24" ht="19" x14ac:dyDescent="0.25">
      <c r="B37" s="180">
        <f>E14</f>
        <v>15</v>
      </c>
      <c r="C37" s="89" t="s">
        <v>7</v>
      </c>
      <c r="D37" s="112"/>
      <c r="E37" s="2"/>
      <c r="F37" s="112"/>
      <c r="G37" s="346">
        <f>E22</f>
        <v>17.983342543895908</v>
      </c>
      <c r="H37" s="67" t="s">
        <v>7</v>
      </c>
      <c r="I37" s="69"/>
      <c r="J37" s="174"/>
      <c r="K37" s="174"/>
      <c r="L37" s="792" t="s">
        <v>195</v>
      </c>
      <c r="M37" s="793"/>
      <c r="N37" s="794"/>
      <c r="O37" s="795"/>
      <c r="P37" s="802">
        <f>IF(E16&gt;0,((100-E21)/100)*I6/'Input-Results'!D7,I6/'Input-Results'!D7)</f>
        <v>1.2E-2</v>
      </c>
      <c r="Q37" s="380" t="s">
        <v>194</v>
      </c>
    </row>
    <row r="38" spans="2:24" ht="20" thickBot="1" x14ac:dyDescent="0.3">
      <c r="B38" s="180">
        <f>E10</f>
        <v>500</v>
      </c>
      <c r="C38" s="67" t="s">
        <v>166</v>
      </c>
      <c r="D38" s="113"/>
      <c r="E38" s="2"/>
      <c r="F38" s="115"/>
      <c r="G38" s="180">
        <f>B38</f>
        <v>500</v>
      </c>
      <c r="H38" s="67" t="s">
        <v>166</v>
      </c>
      <c r="I38" s="69"/>
      <c r="J38" s="178"/>
      <c r="K38" s="179"/>
      <c r="L38" s="762"/>
      <c r="M38" s="749"/>
      <c r="N38" s="797"/>
      <c r="O38" s="798"/>
      <c r="P38" s="801">
        <f>P37*'Input-Results'!D7</f>
        <v>0.21618336000000002</v>
      </c>
      <c r="Q38" s="385" t="s">
        <v>2</v>
      </c>
      <c r="R38" s="5"/>
    </row>
    <row r="39" spans="2:24" ht="16" thickBot="1" x14ac:dyDescent="0.25">
      <c r="D39" s="120"/>
      <c r="E39" s="2"/>
      <c r="F39" s="121"/>
      <c r="J39" s="5"/>
      <c r="K39" s="5"/>
      <c r="L39" s="406" t="s">
        <v>204</v>
      </c>
      <c r="M39" s="281"/>
      <c r="N39" s="407"/>
      <c r="O39" s="408"/>
      <c r="P39" s="796">
        <f>(I6-P38)/'Input-Results'!D7</f>
        <v>0.14639999999999997</v>
      </c>
      <c r="Q39" s="283" t="s">
        <v>194</v>
      </c>
      <c r="R39" s="5"/>
      <c r="S39" s="389"/>
      <c r="T39" s="5"/>
    </row>
    <row r="40" spans="2:24" ht="20" thickBot="1" x14ac:dyDescent="0.3">
      <c r="D40" s="100" t="s">
        <v>61</v>
      </c>
      <c r="E40" s="117">
        <f>E19+P40</f>
        <v>111.25316212746077</v>
      </c>
      <c r="F40" s="101" t="s">
        <v>1</v>
      </c>
      <c r="J40" s="5"/>
      <c r="K40" s="5"/>
      <c r="L40" s="381" t="s">
        <v>205</v>
      </c>
      <c r="M40" s="382"/>
      <c r="N40" s="383"/>
      <c r="O40" s="405"/>
      <c r="P40" s="409">
        <f>IF(E16&gt;0,P39*39000/60,0)</f>
        <v>95.16</v>
      </c>
      <c r="Q40" s="385" t="s">
        <v>1</v>
      </c>
      <c r="R40" s="5"/>
      <c r="S40" s="5"/>
      <c r="T40" s="5"/>
    </row>
    <row r="41" spans="2:24" x14ac:dyDescent="0.2">
      <c r="J41" s="5"/>
      <c r="K41" s="5"/>
    </row>
    <row r="42" spans="2:24" x14ac:dyDescent="0.2">
      <c r="J42" s="5"/>
      <c r="K42" s="5"/>
    </row>
    <row r="43" spans="2:24" ht="13.75" customHeight="1" x14ac:dyDescent="0.2"/>
  </sheetData>
  <mergeCells count="4">
    <mergeCell ref="C28:F28"/>
    <mergeCell ref="G28:J28"/>
    <mergeCell ref="C29:F29"/>
    <mergeCell ref="G29:J29"/>
  </mergeCells>
  <conditionalFormatting sqref="C29 G29">
    <cfRule type="cellIs" dxfId="7" priority="1" operator="equal">
      <formula>"NO CONDENSATION"</formula>
    </cfRule>
    <cfRule type="cellIs" dxfId="6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6"/>
  <dimension ref="B1:Y44"/>
  <sheetViews>
    <sheetView zoomScale="78" zoomScaleNormal="78" workbookViewId="0">
      <selection activeCell="L42" sqref="L42"/>
    </sheetView>
  </sheetViews>
  <sheetFormatPr baseColWidth="10" defaultColWidth="8.83203125" defaultRowHeight="15" x14ac:dyDescent="0.2"/>
  <cols>
    <col min="1" max="1" width="3.1640625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bestFit="1" customWidth="1"/>
    <col min="15" max="15" width="2.83203125" style="3" bestFit="1" customWidth="1"/>
    <col min="16" max="16" width="8.33203125" bestFit="1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 x14ac:dyDescent="0.2"/>
    <row r="2" spans="3:24" ht="21" x14ac:dyDescent="0.25">
      <c r="C2" s="99" t="s">
        <v>587</v>
      </c>
      <c r="M2" s="340"/>
      <c r="N2" s="340"/>
      <c r="O2" s="340"/>
      <c r="P2" s="340"/>
      <c r="Q2" s="340"/>
      <c r="R2" s="340"/>
      <c r="S2" s="340"/>
      <c r="T2" s="340"/>
    </row>
    <row r="3" spans="3:24" ht="5.5" customHeight="1" thickBot="1" x14ac:dyDescent="0.3">
      <c r="C3" s="99"/>
      <c r="M3" s="340"/>
      <c r="N3" s="340"/>
      <c r="O3" s="340"/>
      <c r="P3" s="340"/>
      <c r="Q3" s="340"/>
      <c r="R3" s="340"/>
      <c r="S3" s="340"/>
      <c r="T3" s="340"/>
    </row>
    <row r="4" spans="3:24" x14ac:dyDescent="0.2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293</v>
      </c>
      <c r="D6" s="53"/>
      <c r="E6" s="152">
        <f>Condensers!O7</f>
        <v>15.853446400000001</v>
      </c>
      <c r="F6" s="181" t="s">
        <v>2</v>
      </c>
      <c r="G6" s="57" t="s">
        <v>293</v>
      </c>
      <c r="H6" s="57"/>
      <c r="I6" s="146">
        <f>'Input-Results'!U7</f>
        <v>5.7648896000000001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/>
      <c r="D7" s="53"/>
      <c r="E7" s="152"/>
      <c r="F7" s="181"/>
      <c r="G7" s="57" t="s">
        <v>65</v>
      </c>
      <c r="H7" s="57"/>
      <c r="I7" s="146">
        <f>'Input-Results'!U8</f>
        <v>0.19352448000000003</v>
      </c>
      <c r="J7" s="64" t="s">
        <v>2</v>
      </c>
      <c r="L7" s="141" t="s">
        <v>163</v>
      </c>
      <c r="M7" s="146">
        <f>I6</f>
        <v>5.7648896000000001</v>
      </c>
      <c r="N7" s="145" t="s">
        <v>2</v>
      </c>
      <c r="O7" s="142" t="s">
        <v>31</v>
      </c>
      <c r="P7" s="147">
        <f>I14</f>
        <v>207.38354609265951</v>
      </c>
      <c r="Q7" s="262">
        <f>'Input-Results'!U12</f>
        <v>3</v>
      </c>
      <c r="S7" s="63" t="s">
        <v>163</v>
      </c>
      <c r="T7" s="185">
        <f>E6</f>
        <v>15.853446400000001</v>
      </c>
      <c r="U7" s="131" t="s">
        <v>2</v>
      </c>
      <c r="V7" s="128" t="s">
        <v>31</v>
      </c>
      <c r="W7" s="102">
        <f>E20</f>
        <v>70.590592567223169</v>
      </c>
      <c r="X7" s="261">
        <f>Condensers!O13</f>
        <v>27.96</v>
      </c>
    </row>
    <row r="8" spans="3:24" x14ac:dyDescent="0.2">
      <c r="C8" s="63"/>
      <c r="D8" s="53"/>
      <c r="E8" s="152"/>
      <c r="F8" s="181"/>
      <c r="G8" s="57" t="s">
        <v>103</v>
      </c>
      <c r="H8" s="57"/>
      <c r="I8" s="146">
        <f>'Input-Results'!U9</f>
        <v>1.0562400000000001</v>
      </c>
      <c r="J8" s="64" t="s">
        <v>2</v>
      </c>
      <c r="L8" s="141"/>
      <c r="M8" s="337">
        <f>M7/1000/60</f>
        <v>9.6081493333333336E-5</v>
      </c>
      <c r="N8" s="145" t="s">
        <v>3</v>
      </c>
      <c r="O8" s="142" t="s">
        <v>31</v>
      </c>
      <c r="P8" s="147">
        <f>P7</f>
        <v>207.38354609265951</v>
      </c>
      <c r="Q8" s="262">
        <f>Q7</f>
        <v>3</v>
      </c>
      <c r="S8" s="63"/>
      <c r="T8" s="339">
        <f>T7/1000/60</f>
        <v>2.6422410666666668E-4</v>
      </c>
      <c r="U8" s="131" t="s">
        <v>3</v>
      </c>
      <c r="V8" s="128" t="s">
        <v>31</v>
      </c>
      <c r="W8" s="102">
        <f>W7</f>
        <v>70.590592567223169</v>
      </c>
      <c r="X8" s="261">
        <f>X7</f>
        <v>27.96</v>
      </c>
    </row>
    <row r="9" spans="3:24" x14ac:dyDescent="0.2">
      <c r="C9" s="63"/>
      <c r="D9" s="53"/>
      <c r="E9" s="53"/>
      <c r="F9" s="181"/>
      <c r="G9" s="57" t="s">
        <v>104</v>
      </c>
      <c r="H9" s="57"/>
      <c r="I9" s="146">
        <f>'Input-Results'!U10</f>
        <v>2.4861999999999997</v>
      </c>
      <c r="J9" s="64" t="s">
        <v>2</v>
      </c>
      <c r="L9" s="141" t="s">
        <v>90</v>
      </c>
      <c r="M9" s="146">
        <f>I7</f>
        <v>0.19352448000000003</v>
      </c>
      <c r="N9" s="145" t="s">
        <v>2</v>
      </c>
      <c r="O9" s="142" t="s">
        <v>31</v>
      </c>
      <c r="P9" s="147">
        <f t="shared" ref="P9:Q14" si="0">P8</f>
        <v>207.38354609265951</v>
      </c>
      <c r="Q9" s="262">
        <f t="shared" si="0"/>
        <v>3</v>
      </c>
      <c r="S9" s="63"/>
      <c r="T9" s="185"/>
      <c r="U9" s="131"/>
      <c r="V9" s="128"/>
      <c r="W9" s="53"/>
      <c r="X9" s="261"/>
    </row>
    <row r="10" spans="3:24" x14ac:dyDescent="0.2">
      <c r="C10" s="63" t="s">
        <v>45</v>
      </c>
      <c r="D10" s="53"/>
      <c r="E10" s="152">
        <f>E6+E7+E8</f>
        <v>15.853446400000001</v>
      </c>
      <c r="F10" s="181" t="s">
        <v>2</v>
      </c>
      <c r="G10" s="57" t="s">
        <v>45</v>
      </c>
      <c r="H10" s="57"/>
      <c r="I10" s="146">
        <f>I6+I7+I8+I9</f>
        <v>9.5008540799999999</v>
      </c>
      <c r="J10" s="64" t="s">
        <v>2</v>
      </c>
      <c r="L10" s="141"/>
      <c r="M10" s="337">
        <f>M9/1000/60</f>
        <v>3.2254080000000003E-6</v>
      </c>
      <c r="N10" s="145" t="s">
        <v>3</v>
      </c>
      <c r="O10" s="142" t="s">
        <v>31</v>
      </c>
      <c r="P10" s="147">
        <f t="shared" si="0"/>
        <v>207.38354609265951</v>
      </c>
      <c r="Q10" s="262">
        <f t="shared" si="0"/>
        <v>3</v>
      </c>
      <c r="S10" s="63"/>
      <c r="T10" s="339"/>
      <c r="U10" s="131"/>
      <c r="V10" s="128"/>
      <c r="W10" s="53"/>
      <c r="X10" s="261"/>
    </row>
    <row r="11" spans="3:24" x14ac:dyDescent="0.2">
      <c r="C11" s="63" t="s">
        <v>45</v>
      </c>
      <c r="D11" s="53"/>
      <c r="E11" s="338">
        <f>E10/1000/60</f>
        <v>2.6422410666666668E-4</v>
      </c>
      <c r="F11" s="53" t="s">
        <v>3</v>
      </c>
      <c r="G11" s="57" t="s">
        <v>46</v>
      </c>
      <c r="H11" s="57"/>
      <c r="I11" s="337">
        <f>I10/1000/60</f>
        <v>1.5834756799999999E-4</v>
      </c>
      <c r="J11" s="64" t="s">
        <v>3</v>
      </c>
      <c r="L11" s="141" t="s">
        <v>103</v>
      </c>
      <c r="M11" s="146">
        <f>I8</f>
        <v>1.0562400000000001</v>
      </c>
      <c r="N11" s="145" t="s">
        <v>2</v>
      </c>
      <c r="O11" s="142" t="s">
        <v>31</v>
      </c>
      <c r="P11" s="147">
        <f t="shared" si="0"/>
        <v>207.38354609265951</v>
      </c>
      <c r="Q11" s="262">
        <f t="shared" si="0"/>
        <v>3</v>
      </c>
      <c r="S11" s="63"/>
      <c r="T11" s="152"/>
      <c r="U11" s="131"/>
      <c r="V11" s="128"/>
      <c r="W11" s="53"/>
      <c r="X11" s="261"/>
    </row>
    <row r="12" spans="3:24" ht="17" x14ac:dyDescent="0.25">
      <c r="C12" s="63" t="s">
        <v>4</v>
      </c>
      <c r="D12" s="53" t="s">
        <v>11</v>
      </c>
      <c r="E12" s="56">
        <v>4185</v>
      </c>
      <c r="F12" s="53" t="s">
        <v>0</v>
      </c>
      <c r="G12" s="57" t="s">
        <v>4</v>
      </c>
      <c r="H12" s="57" t="s">
        <v>12</v>
      </c>
      <c r="I12" s="59">
        <f>'Interpolation 3'!AX9</f>
        <v>2322.5134808455318</v>
      </c>
      <c r="J12" s="64" t="s">
        <v>0</v>
      </c>
      <c r="L12" s="141"/>
      <c r="M12" s="337">
        <f>M11/1000/60</f>
        <v>1.7604000000000003E-5</v>
      </c>
      <c r="N12" s="145" t="s">
        <v>3</v>
      </c>
      <c r="O12" s="142" t="s">
        <v>31</v>
      </c>
      <c r="P12" s="147">
        <f t="shared" si="0"/>
        <v>207.38354609265951</v>
      </c>
      <c r="Q12" s="262">
        <f t="shared" si="0"/>
        <v>3</v>
      </c>
      <c r="S12" s="63"/>
      <c r="T12" s="338"/>
      <c r="U12" s="131"/>
      <c r="V12" s="128"/>
      <c r="W12" s="53"/>
      <c r="X12" s="261"/>
    </row>
    <row r="13" spans="3:24" ht="17" x14ac:dyDescent="0.25">
      <c r="C13" s="63" t="s">
        <v>5</v>
      </c>
      <c r="D13" s="53" t="s">
        <v>6</v>
      </c>
      <c r="E13" s="55">
        <f>E11*E12</f>
        <v>1.1057778864000001</v>
      </c>
      <c r="F13" s="53" t="s">
        <v>19</v>
      </c>
      <c r="G13" s="57" t="s">
        <v>5</v>
      </c>
      <c r="H13" s="57" t="s">
        <v>13</v>
      </c>
      <c r="I13" s="58">
        <f>I11*I12</f>
        <v>0.36776436133910451</v>
      </c>
      <c r="J13" s="64" t="s">
        <v>8</v>
      </c>
      <c r="L13" s="141" t="s">
        <v>104</v>
      </c>
      <c r="M13" s="146">
        <f>I9</f>
        <v>2.4861999999999997</v>
      </c>
      <c r="N13" s="145" t="s">
        <v>2</v>
      </c>
      <c r="O13" s="142" t="s">
        <v>31</v>
      </c>
      <c r="P13" s="147">
        <f t="shared" si="0"/>
        <v>207.38354609265951</v>
      </c>
      <c r="Q13" s="262">
        <f t="shared" si="0"/>
        <v>3</v>
      </c>
      <c r="S13" s="63"/>
      <c r="T13" s="53"/>
      <c r="U13" s="131"/>
      <c r="V13" s="128"/>
      <c r="W13" s="53"/>
      <c r="X13" s="261"/>
    </row>
    <row r="14" spans="3:24" ht="18" thickBot="1" x14ac:dyDescent="0.3">
      <c r="C14" s="86" t="s">
        <v>167</v>
      </c>
      <c r="D14" s="87" t="s">
        <v>16</v>
      </c>
      <c r="E14" s="165">
        <f>Condensers!D16</f>
        <v>21</v>
      </c>
      <c r="F14" s="106" t="s">
        <v>7</v>
      </c>
      <c r="G14" s="107" t="s">
        <v>168</v>
      </c>
      <c r="H14" s="107" t="s">
        <v>17</v>
      </c>
      <c r="I14" s="529">
        <f>'HE3'!I20</f>
        <v>207.38354609265951</v>
      </c>
      <c r="J14" s="108" t="s">
        <v>7</v>
      </c>
      <c r="L14" s="141"/>
      <c r="M14" s="337">
        <f>M13/1000/60</f>
        <v>4.1436666666666662E-5</v>
      </c>
      <c r="N14" s="145" t="s">
        <v>3</v>
      </c>
      <c r="O14" s="142" t="s">
        <v>31</v>
      </c>
      <c r="P14" s="147">
        <f t="shared" si="0"/>
        <v>207.38354609265951</v>
      </c>
      <c r="Q14" s="262">
        <f t="shared" si="0"/>
        <v>3</v>
      </c>
      <c r="S14" s="63"/>
      <c r="T14" s="53"/>
      <c r="U14" s="131"/>
      <c r="V14" s="128"/>
      <c r="W14" s="53"/>
      <c r="X14" s="261"/>
    </row>
    <row r="15" spans="3:24" x14ac:dyDescent="0.2">
      <c r="C15" s="83" t="s">
        <v>169</v>
      </c>
      <c r="D15" s="84" t="s">
        <v>15</v>
      </c>
      <c r="E15" s="260">
        <f>Condensers!D29</f>
        <v>0.8</v>
      </c>
      <c r="F15" s="61"/>
      <c r="G15" s="62"/>
      <c r="H15" s="62"/>
      <c r="I15" s="62"/>
      <c r="J15" s="66"/>
      <c r="L15" s="141"/>
      <c r="M15" s="57"/>
      <c r="N15" s="142"/>
      <c r="O15" s="142"/>
      <c r="P15" s="57"/>
      <c r="Q15" s="262"/>
      <c r="S15" s="63"/>
      <c r="T15" s="53"/>
      <c r="U15" s="53"/>
      <c r="V15" s="53"/>
      <c r="W15" s="53"/>
      <c r="X15" s="122"/>
    </row>
    <row r="16" spans="3:24" x14ac:dyDescent="0.2">
      <c r="C16" s="83" t="s">
        <v>188</v>
      </c>
      <c r="D16" s="85" t="s">
        <v>53</v>
      </c>
      <c r="E16" s="260">
        <f>Condensers!D22</f>
        <v>1</v>
      </c>
      <c r="F16" s="61" t="s">
        <v>63</v>
      </c>
      <c r="G16" s="62"/>
      <c r="H16" s="62"/>
      <c r="I16" s="62"/>
      <c r="J16" s="66"/>
      <c r="L16" s="141" t="s">
        <v>164</v>
      </c>
      <c r="M16" s="146">
        <f>(1/461.52)*(100000*Q16/(P16+273))</f>
        <v>1.3531396034006966</v>
      </c>
      <c r="N16" s="145" t="s">
        <v>23</v>
      </c>
      <c r="O16" s="142" t="s">
        <v>31</v>
      </c>
      <c r="P16" s="147">
        <f>P7</f>
        <v>207.38354609265951</v>
      </c>
      <c r="Q16" s="262">
        <f>Q10</f>
        <v>3</v>
      </c>
      <c r="S16" s="63" t="s">
        <v>164</v>
      </c>
      <c r="T16" s="152">
        <v>1000</v>
      </c>
      <c r="U16" s="131" t="s">
        <v>23</v>
      </c>
      <c r="V16" s="128" t="s">
        <v>31</v>
      </c>
      <c r="W16" s="102">
        <f>W7</f>
        <v>70.590592567223169</v>
      </c>
      <c r="X16" s="261">
        <f>X7</f>
        <v>27.96</v>
      </c>
    </row>
    <row r="17" spans="3:24" x14ac:dyDescent="0.2">
      <c r="C17" s="83" t="s">
        <v>56</v>
      </c>
      <c r="D17" s="85" t="s">
        <v>57</v>
      </c>
      <c r="E17" s="103">
        <f>MIN(E13,I13)/MAX(E13:I13)</f>
        <v>0.33258429731888378</v>
      </c>
      <c r="F17" s="61"/>
      <c r="G17" s="62"/>
      <c r="H17" s="62"/>
      <c r="I17" s="62"/>
      <c r="J17" s="66"/>
      <c r="L17" s="141" t="s">
        <v>91</v>
      </c>
      <c r="M17" s="146">
        <f>(1/4124.2)*(100000*Q17/(P17+273))</f>
        <v>0.15142354632692148</v>
      </c>
      <c r="N17" s="145" t="s">
        <v>23</v>
      </c>
      <c r="O17" s="142" t="s">
        <v>31</v>
      </c>
      <c r="P17" s="147">
        <f>P8</f>
        <v>207.38354609265951</v>
      </c>
      <c r="Q17" s="262">
        <f>Q16</f>
        <v>3</v>
      </c>
      <c r="S17" s="63"/>
      <c r="T17" s="152"/>
      <c r="U17" s="131"/>
      <c r="V17" s="128"/>
      <c r="W17" s="53"/>
      <c r="X17" s="261"/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141" t="s">
        <v>161</v>
      </c>
      <c r="M18" s="146">
        <f>(1/188.92)*(100000*Q18/(P18+273))</f>
        <v>3.3056372526015751</v>
      </c>
      <c r="N18" s="145" t="s">
        <v>23</v>
      </c>
      <c r="O18" s="142" t="s">
        <v>31</v>
      </c>
      <c r="P18" s="147">
        <f>P9</f>
        <v>207.38354609265951</v>
      </c>
      <c r="Q18" s="262">
        <f>Q12</f>
        <v>3</v>
      </c>
      <c r="S18" s="63"/>
      <c r="T18" s="152"/>
      <c r="U18" s="131"/>
      <c r="V18" s="128"/>
      <c r="W18" s="102"/>
      <c r="X18" s="261"/>
    </row>
    <row r="19" spans="3:24" ht="17" x14ac:dyDescent="0.25">
      <c r="C19" s="65" t="s">
        <v>14</v>
      </c>
      <c r="D19" s="60" t="s">
        <v>18</v>
      </c>
      <c r="E19" s="105">
        <f>E18*MIN(E13,I13)*(I14-E14)</f>
        <v>54.836180634307588</v>
      </c>
      <c r="F19" s="61" t="s">
        <v>1</v>
      </c>
      <c r="G19" s="62" t="s">
        <v>22</v>
      </c>
      <c r="H19" s="62"/>
      <c r="I19" s="62"/>
      <c r="J19" s="66"/>
      <c r="L19" s="141" t="s">
        <v>162</v>
      </c>
      <c r="M19" s="146">
        <f>(1/518.28)*(100000*Q19/(P19+273))</f>
        <v>1.2049490425281499</v>
      </c>
      <c r="N19" s="145" t="s">
        <v>23</v>
      </c>
      <c r="O19" s="142" t="s">
        <v>31</v>
      </c>
      <c r="P19" s="147">
        <f>P10</f>
        <v>207.38354609265951</v>
      </c>
      <c r="Q19" s="262">
        <f>Q18</f>
        <v>3</v>
      </c>
      <c r="S19" s="63"/>
      <c r="T19" s="53"/>
      <c r="U19" s="53"/>
      <c r="V19" s="53"/>
      <c r="W19" s="53"/>
      <c r="X19" s="122"/>
    </row>
    <row r="20" spans="3:24" ht="17" x14ac:dyDescent="0.25">
      <c r="C20" s="287" t="s">
        <v>64</v>
      </c>
      <c r="D20" s="106" t="s">
        <v>20</v>
      </c>
      <c r="E20" s="444">
        <f>E14+E19/E13</f>
        <v>70.590592567223169</v>
      </c>
      <c r="F20" s="289" t="s">
        <v>7</v>
      </c>
      <c r="G20" s="446" t="s">
        <v>421</v>
      </c>
      <c r="H20" s="446" t="s">
        <v>21</v>
      </c>
      <c r="I20" s="447">
        <f>I14-E19/I13</f>
        <v>58.276709218531863</v>
      </c>
      <c r="J20" s="448" t="s">
        <v>7</v>
      </c>
      <c r="L20" s="141" t="s">
        <v>629</v>
      </c>
      <c r="M20" s="146">
        <f>1/(((I6/I10)/M16)+((I7/I10)/M17)+((I8/I10)/M18)+((I9/I10)/M19))</f>
        <v>1.1994111491243407</v>
      </c>
      <c r="N20" s="145" t="s">
        <v>23</v>
      </c>
      <c r="O20" s="142" t="s">
        <v>31</v>
      </c>
      <c r="P20" s="147">
        <f>P11</f>
        <v>207.38354609265951</v>
      </c>
      <c r="Q20" s="262">
        <f>Q14</f>
        <v>3</v>
      </c>
      <c r="S20" s="63"/>
      <c r="T20" s="53"/>
      <c r="U20" s="53"/>
      <c r="V20" s="53"/>
      <c r="W20" s="53"/>
      <c r="X20" s="122"/>
    </row>
    <row r="21" spans="3:24" x14ac:dyDescent="0.2">
      <c r="C21" s="287" t="s">
        <v>278</v>
      </c>
      <c r="D21" s="106"/>
      <c r="E21" s="732">
        <v>27.7</v>
      </c>
      <c r="F21" s="53" t="s">
        <v>77</v>
      </c>
      <c r="G21" s="107" t="s">
        <v>279</v>
      </c>
      <c r="H21" s="107"/>
      <c r="I21" s="201">
        <f>IF(E16=0,0,100*(H30-I20)/(I14-I20))</f>
        <v>36.814168186641616</v>
      </c>
      <c r="J21" s="108" t="s">
        <v>77</v>
      </c>
      <c r="L21" s="141"/>
      <c r="M21" s="146"/>
      <c r="N21" s="145"/>
      <c r="O21" s="142"/>
      <c r="P21" s="147"/>
      <c r="Q21" s="262"/>
      <c r="S21" s="63"/>
      <c r="T21" s="53"/>
      <c r="U21" s="53"/>
      <c r="V21" s="53"/>
      <c r="W21" s="53"/>
      <c r="X21" s="122"/>
    </row>
    <row r="22" spans="3:24" ht="16" thickBot="1" x14ac:dyDescent="0.25">
      <c r="C22" s="86" t="s">
        <v>271</v>
      </c>
      <c r="D22" s="87"/>
      <c r="E22" s="165">
        <f>IF((P40&gt;0)*AND(E16&gt;0),E20+(P40/(E12*(E6/1000/60))),E20)</f>
        <v>122.69508905663676</v>
      </c>
      <c r="F22" s="87" t="s">
        <v>7</v>
      </c>
      <c r="G22" s="149"/>
      <c r="H22" s="149"/>
      <c r="I22" s="445"/>
      <c r="J22" s="151"/>
      <c r="L22" s="141" t="s">
        <v>184</v>
      </c>
      <c r="M22" s="146">
        <f>(3600*M8/M16)+(3600*M10/M17)+(3600*M12/M18)+(3600*M14/M19)</f>
        <v>0.4752759262044377</v>
      </c>
      <c r="N22" s="145" t="s">
        <v>25</v>
      </c>
      <c r="O22" s="142" t="s">
        <v>31</v>
      </c>
      <c r="P22" s="147">
        <f>P7</f>
        <v>207.38354609265951</v>
      </c>
      <c r="Q22" s="262">
        <f>Q7</f>
        <v>3</v>
      </c>
      <c r="S22" s="63" t="s">
        <v>24</v>
      </c>
      <c r="T22" s="184">
        <f>(3600*T8/T16)</f>
        <v>9.5120678400000002E-4</v>
      </c>
      <c r="U22" s="131" t="s">
        <v>25</v>
      </c>
      <c r="V22" s="128" t="s">
        <v>31</v>
      </c>
      <c r="W22" s="102">
        <f>W7</f>
        <v>70.590592567223169</v>
      </c>
      <c r="X22" s="261">
        <f>X7</f>
        <v>27.96</v>
      </c>
    </row>
    <row r="23" spans="3:24" ht="16" thickBot="1" x14ac:dyDescent="0.25">
      <c r="C23" s="5"/>
      <c r="D23" s="5"/>
      <c r="E23" s="5"/>
      <c r="F23" s="168"/>
      <c r="G23" s="5"/>
      <c r="H23" s="5"/>
      <c r="I23" s="5"/>
      <c r="J23" s="5"/>
      <c r="L23" s="141"/>
      <c r="M23" s="59">
        <f>M22*1000/60</f>
        <v>7.9212654367406286</v>
      </c>
      <c r="N23" s="145" t="s">
        <v>49</v>
      </c>
      <c r="O23" s="142" t="s">
        <v>31</v>
      </c>
      <c r="P23" s="147">
        <f>P22</f>
        <v>207.38354609265951</v>
      </c>
      <c r="Q23" s="262">
        <f>Q22</f>
        <v>3</v>
      </c>
      <c r="S23" s="63"/>
      <c r="T23" s="152">
        <f>T22*1000/60</f>
        <v>1.5853446400000002E-2</v>
      </c>
      <c r="U23" s="131" t="s">
        <v>49</v>
      </c>
      <c r="V23" s="128" t="str">
        <f>V8</f>
        <v>@</v>
      </c>
      <c r="W23" s="102">
        <f>W8</f>
        <v>70.590592567223169</v>
      </c>
      <c r="X23" s="261">
        <f>X22</f>
        <v>27.96</v>
      </c>
    </row>
    <row r="24" spans="3:24" x14ac:dyDescent="0.2">
      <c r="C24" s="365" t="s">
        <v>181</v>
      </c>
      <c r="D24" s="366" t="s">
        <v>182</v>
      </c>
      <c r="E24" s="367"/>
      <c r="F24" s="367"/>
      <c r="G24" s="366"/>
      <c r="H24" s="366"/>
      <c r="I24" s="366"/>
      <c r="J24" s="368"/>
      <c r="L24" s="141"/>
      <c r="M24" s="57"/>
      <c r="N24" s="142"/>
      <c r="O24" s="142"/>
      <c r="P24" s="57"/>
      <c r="Q24" s="262"/>
      <c r="S24" s="63"/>
      <c r="T24" s="53"/>
      <c r="U24" s="53"/>
      <c r="V24" s="53"/>
      <c r="W24" s="53"/>
      <c r="X24" s="122"/>
    </row>
    <row r="25" spans="3:24" x14ac:dyDescent="0.2">
      <c r="C25" s="213" t="s">
        <v>179</v>
      </c>
      <c r="D25" s="360">
        <f>I14</f>
        <v>207.38354609265951</v>
      </c>
      <c r="E25" s="371" t="s">
        <v>7</v>
      </c>
      <c r="F25" s="361"/>
      <c r="G25" s="93" t="s">
        <v>180</v>
      </c>
      <c r="H25" s="309">
        <f>I20</f>
        <v>58.276709218531863</v>
      </c>
      <c r="I25" s="374" t="s">
        <v>7</v>
      </c>
      <c r="J25" s="369"/>
      <c r="L25" s="735" t="s">
        <v>191</v>
      </c>
      <c r="M25" s="146">
        <f>M22*(I20+273)/(I14+273)</f>
        <v>0.32775444971927986</v>
      </c>
      <c r="N25" s="145" t="s">
        <v>25</v>
      </c>
      <c r="O25" s="142" t="s">
        <v>31</v>
      </c>
      <c r="P25" s="147">
        <f>I20</f>
        <v>58.276709218531863</v>
      </c>
      <c r="Q25" s="262">
        <f>Q8</f>
        <v>3</v>
      </c>
      <c r="S25" s="63"/>
      <c r="T25" s="53"/>
      <c r="U25" s="53"/>
      <c r="V25" s="53"/>
      <c r="W25" s="53"/>
      <c r="X25" s="122"/>
    </row>
    <row r="26" spans="3:24" x14ac:dyDescent="0.2">
      <c r="C26" s="96" t="s">
        <v>178</v>
      </c>
      <c r="D26" s="94">
        <f>0.01*0.61078*EXP((17.27*D25)/(D25+237.3))</f>
        <v>19.218715815145782</v>
      </c>
      <c r="E26" s="372" t="s">
        <v>177</v>
      </c>
      <c r="F26" s="359"/>
      <c r="G26" s="93" t="s">
        <v>178</v>
      </c>
      <c r="H26" s="98">
        <f>0.01*0.61078*EXP((17.27*H25)/(H25+237.3))</f>
        <v>0.18393214104512817</v>
      </c>
      <c r="I26" s="374" t="s">
        <v>177</v>
      </c>
      <c r="J26" s="369"/>
      <c r="K26" s="5"/>
      <c r="L26" s="141"/>
      <c r="M26" s="59">
        <f>M25*1000/60</f>
        <v>5.4625741619879982</v>
      </c>
      <c r="N26" s="145" t="s">
        <v>49</v>
      </c>
      <c r="O26" s="142" t="s">
        <v>31</v>
      </c>
      <c r="P26" s="147">
        <f>P25</f>
        <v>58.276709218531863</v>
      </c>
      <c r="Q26" s="262">
        <f>Q25</f>
        <v>3</v>
      </c>
      <c r="S26" s="63"/>
      <c r="T26" s="53"/>
      <c r="U26" s="53"/>
      <c r="V26" s="53"/>
      <c r="W26" s="53"/>
      <c r="X26" s="122"/>
    </row>
    <row r="27" spans="3:24" x14ac:dyDescent="0.2">
      <c r="C27" s="336" t="s">
        <v>183</v>
      </c>
      <c r="D27" s="362">
        <f>(((I6/Condensers!D7)/60)*8.3144598*(D25+273)/('CON2'!M22/3600))/100000</f>
        <v>1.6135319648472057</v>
      </c>
      <c r="E27" s="373" t="s">
        <v>177</v>
      </c>
      <c r="F27" s="363"/>
      <c r="G27" s="93" t="s">
        <v>183</v>
      </c>
      <c r="H27" s="94">
        <f>(((I6/Condensers!D7)/60)*8.3144598*(H25+273)/('CON2'!M25/3600))/100000</f>
        <v>1.613531964847206</v>
      </c>
      <c r="I27" s="374" t="s">
        <v>177</v>
      </c>
      <c r="J27" s="369"/>
      <c r="K27" s="5"/>
      <c r="L27" s="141"/>
      <c r="M27" s="146"/>
      <c r="N27" s="145"/>
      <c r="O27" s="142"/>
      <c r="P27" s="147"/>
      <c r="Q27" s="262"/>
      <c r="S27" s="63"/>
      <c r="T27" s="53"/>
      <c r="U27" s="53"/>
      <c r="V27" s="53"/>
      <c r="W27" s="53"/>
      <c r="X27" s="122"/>
    </row>
    <row r="28" spans="3:24" ht="19" x14ac:dyDescent="0.25">
      <c r="C28" s="839" t="s">
        <v>185</v>
      </c>
      <c r="D28" s="840"/>
      <c r="E28" s="840"/>
      <c r="F28" s="841"/>
      <c r="G28" s="842" t="s">
        <v>186</v>
      </c>
      <c r="H28" s="840"/>
      <c r="I28" s="840"/>
      <c r="J28" s="843"/>
      <c r="K28" s="5"/>
      <c r="L28" s="769" t="s">
        <v>634</v>
      </c>
      <c r="M28" s="733">
        <f>((3600*M10/M17)+(3600*M12/M18)+(3600*M14/M19))*(I20+273)/(I14+273)+((100-E21)/100)*(3600*M8/M16)*(I20+273)/(I14+273)</f>
        <v>0.27892495965752062</v>
      </c>
      <c r="N28" s="145" t="s">
        <v>25</v>
      </c>
      <c r="O28" s="142" t="s">
        <v>31</v>
      </c>
      <c r="P28" s="147">
        <f>I20</f>
        <v>58.276709218531863</v>
      </c>
      <c r="Q28" s="262">
        <f>Q9</f>
        <v>3</v>
      </c>
      <c r="S28" s="63"/>
      <c r="T28" s="53"/>
      <c r="U28" s="53"/>
      <c r="V28" s="53"/>
      <c r="W28" s="53"/>
      <c r="X28" s="122"/>
    </row>
    <row r="29" spans="3:24" ht="20" thickBot="1" x14ac:dyDescent="0.3">
      <c r="C29" s="844" t="str">
        <f>IF(D26&lt;D27,"CONDENSATION","NO CONDENSATION")</f>
        <v>NO CONDENSATION</v>
      </c>
      <c r="D29" s="845"/>
      <c r="E29" s="845"/>
      <c r="F29" s="846"/>
      <c r="G29" s="847" t="str">
        <f>IF(H26&lt;H27,"CONDENSATION","NO CONDENSATION")</f>
        <v>CONDENSATION</v>
      </c>
      <c r="H29" s="845"/>
      <c r="I29" s="845"/>
      <c r="J29" s="848"/>
      <c r="K29" s="5"/>
      <c r="L29" s="770"/>
      <c r="M29" s="734">
        <f>(M28*((P29+273)/(P28+273))*(Q28/Q29))/3600</f>
        <v>1.8908994310698533E-4</v>
      </c>
      <c r="N29" s="145" t="s">
        <v>337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21.5" customHeight="1" thickBot="1" x14ac:dyDescent="0.25">
      <c r="G30" s="728" t="s">
        <v>231</v>
      </c>
      <c r="H30" s="729">
        <f>(237.3*LN(((H27*100)/0.61078)))/(17.27-(LN(((H27*100)/0.61078))))</f>
        <v>113.16915092315458</v>
      </c>
      <c r="I30" s="730" t="s">
        <v>7</v>
      </c>
      <c r="J30" s="731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 x14ac:dyDescent="0.25">
      <c r="K31" s="5"/>
      <c r="L31" s="141"/>
      <c r="M31" s="147">
        <f>M22*1000/60</f>
        <v>7.9212654367406286</v>
      </c>
      <c r="N31" s="145" t="s">
        <v>49</v>
      </c>
      <c r="O31" s="142" t="s">
        <v>31</v>
      </c>
      <c r="P31" s="147">
        <f>P7</f>
        <v>207.38354609265951</v>
      </c>
      <c r="Q31" s="262">
        <f>Q7</f>
        <v>3</v>
      </c>
      <c r="S31" s="63"/>
      <c r="T31" s="152"/>
      <c r="U31" s="131"/>
      <c r="V31" s="128"/>
      <c r="W31" s="53"/>
      <c r="X31" s="122"/>
    </row>
    <row r="32" spans="3:24" ht="20" thickBot="1" x14ac:dyDescent="0.3">
      <c r="D32" s="119">
        <f>E16</f>
        <v>1</v>
      </c>
      <c r="E32" s="118" t="s">
        <v>165</v>
      </c>
      <c r="F32" s="116"/>
      <c r="J32" s="5"/>
      <c r="K32" s="5"/>
      <c r="L32" s="141"/>
      <c r="M32" s="147">
        <f>M31*((P32+273)/($P$31+273))*($Q$31/Q32)</f>
        <v>13.331557776667168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 x14ac:dyDescent="0.25">
      <c r="C33" s="2"/>
      <c r="D33" s="120"/>
      <c r="E33" s="2"/>
      <c r="F33" s="121"/>
      <c r="J33" s="5"/>
      <c r="K33" s="5"/>
      <c r="L33" s="141"/>
      <c r="M33" s="147">
        <f>M31*((P33+273)/($P$31+273))*($Q$31/Q33)</f>
        <v>14.308228676056707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 x14ac:dyDescent="0.25">
      <c r="B34" s="70">
        <f>IF(E16=0,I20,H30)</f>
        <v>113.16915092315458</v>
      </c>
      <c r="C34" s="90" t="s">
        <v>7</v>
      </c>
      <c r="D34" s="110"/>
      <c r="E34" s="2"/>
      <c r="F34" s="114"/>
      <c r="G34" s="199">
        <f>I14</f>
        <v>207.38354609265951</v>
      </c>
      <c r="H34" s="68" t="s">
        <v>7</v>
      </c>
      <c r="I34" s="68"/>
      <c r="K34" s="174"/>
      <c r="L34" s="141"/>
      <c r="M34" s="147">
        <f>M31*2.119*((273+P34)/(273+P31))*(Q31/Q34)</f>
        <v>30.319136564564165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 x14ac:dyDescent="0.3">
      <c r="B35" s="264">
        <f>I10</f>
        <v>9.5008540799999999</v>
      </c>
      <c r="C35" s="68" t="s">
        <v>111</v>
      </c>
      <c r="D35" s="111"/>
      <c r="E35" s="2"/>
      <c r="F35" s="112"/>
      <c r="G35" s="200">
        <f>I10</f>
        <v>9.5008540799999999</v>
      </c>
      <c r="H35" s="68" t="s">
        <v>111</v>
      </c>
      <c r="I35" s="68"/>
      <c r="J35" s="5"/>
      <c r="K35" s="179"/>
      <c r="L35" s="148"/>
      <c r="M35" s="195">
        <f>M34/60</f>
        <v>0.50531894274273603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/>
      <c r="U35" s="198"/>
      <c r="V35" s="132"/>
      <c r="W35" s="87"/>
      <c r="X35" s="124"/>
    </row>
    <row r="36" spans="2:25" ht="20" thickBot="1" x14ac:dyDescent="0.3">
      <c r="B36" s="69"/>
      <c r="C36" s="69"/>
      <c r="D36" s="112"/>
      <c r="E36" s="2"/>
      <c r="F36" s="112"/>
      <c r="G36" s="69"/>
      <c r="H36" s="69"/>
      <c r="I36" s="69"/>
      <c r="J36" s="5"/>
      <c r="K36" s="5"/>
      <c r="L36" s="175"/>
      <c r="M36" s="176"/>
      <c r="N36" s="177"/>
      <c r="O36" s="173"/>
      <c r="P36" s="173"/>
      <c r="Q36" s="5"/>
      <c r="R36" s="5"/>
      <c r="S36" s="5"/>
    </row>
    <row r="37" spans="2:25" ht="19" x14ac:dyDescent="0.25">
      <c r="B37" s="180">
        <f>E14</f>
        <v>21</v>
      </c>
      <c r="C37" s="89" t="s">
        <v>7</v>
      </c>
      <c r="D37" s="112"/>
      <c r="E37" s="2"/>
      <c r="F37" s="112"/>
      <c r="G37" s="346">
        <f>E22</f>
        <v>122.69508905663676</v>
      </c>
      <c r="H37" s="67" t="s">
        <v>7</v>
      </c>
      <c r="I37" s="69"/>
      <c r="J37" s="5"/>
      <c r="K37" s="5"/>
      <c r="L37" s="792" t="s">
        <v>195</v>
      </c>
      <c r="M37" s="793"/>
      <c r="N37" s="794"/>
      <c r="O37" s="795"/>
      <c r="P37" s="802">
        <f>IF(E16&gt;0,((100-E21)/100)*I6/'Input-Results'!D7,I6/'Input-Results'!D7)</f>
        <v>0.23136000000000001</v>
      </c>
      <c r="Q37" s="380" t="s">
        <v>194</v>
      </c>
      <c r="S37" s="389"/>
      <c r="T37" s="766"/>
      <c r="U37" s="5"/>
      <c r="V37" s="5"/>
      <c r="W37" s="5"/>
      <c r="X37" s="5"/>
    </row>
    <row r="38" spans="2:25" ht="20" thickBot="1" x14ac:dyDescent="0.3">
      <c r="B38" s="180">
        <f>E10</f>
        <v>15.853446400000001</v>
      </c>
      <c r="C38" s="67" t="s">
        <v>166</v>
      </c>
      <c r="D38" s="113"/>
      <c r="E38" s="2"/>
      <c r="F38" s="115"/>
      <c r="G38" s="180">
        <f>B38</f>
        <v>15.853446400000001</v>
      </c>
      <c r="H38" s="67" t="s">
        <v>166</v>
      </c>
      <c r="I38" s="69"/>
      <c r="J38" s="5"/>
      <c r="K38" s="5"/>
      <c r="L38" s="762"/>
      <c r="M38" s="749"/>
      <c r="N38" s="797"/>
      <c r="O38" s="798"/>
      <c r="P38" s="801">
        <f>P37*'Input-Results'!D7</f>
        <v>4.1680151808000003</v>
      </c>
      <c r="Q38" s="385" t="s">
        <v>2</v>
      </c>
      <c r="S38" s="803"/>
      <c r="U38" s="5"/>
      <c r="V38" s="5"/>
      <c r="W38" s="5"/>
      <c r="X38" s="5"/>
      <c r="Y38" s="5"/>
    </row>
    <row r="39" spans="2:25" ht="16" thickBot="1" x14ac:dyDescent="0.25">
      <c r="D39" s="120"/>
      <c r="E39" s="2"/>
      <c r="F39" s="121"/>
      <c r="J39" s="5"/>
      <c r="K39" s="5"/>
      <c r="L39" s="406" t="s">
        <v>204</v>
      </c>
      <c r="M39" s="281"/>
      <c r="N39" s="407"/>
      <c r="O39" s="408"/>
      <c r="P39" s="796">
        <f>(I6-P38)/'Input-Results'!D7</f>
        <v>8.8639999999999983E-2</v>
      </c>
      <c r="Q39" s="283" t="s">
        <v>194</v>
      </c>
      <c r="S39" s="237"/>
      <c r="T39" s="5"/>
      <c r="U39" s="5"/>
      <c r="V39" s="5"/>
      <c r="W39" s="5"/>
      <c r="X39" s="5"/>
      <c r="Y39" s="5"/>
    </row>
    <row r="40" spans="2:25" ht="20" thickBot="1" x14ac:dyDescent="0.3">
      <c r="D40" s="100" t="s">
        <v>61</v>
      </c>
      <c r="E40" s="117">
        <f>E19+P40</f>
        <v>112.45218063430758</v>
      </c>
      <c r="F40" s="101" t="s">
        <v>1</v>
      </c>
      <c r="J40" s="174"/>
      <c r="L40" s="381" t="s">
        <v>205</v>
      </c>
      <c r="M40" s="382"/>
      <c r="N40" s="383"/>
      <c r="O40" s="405"/>
      <c r="P40" s="409">
        <f>IF(E16&gt;0,P39*39000/60,0)</f>
        <v>57.615999999999985</v>
      </c>
      <c r="Q40" s="385" t="s">
        <v>1</v>
      </c>
      <c r="S40" s="804"/>
      <c r="T40" s="5"/>
      <c r="U40" s="5"/>
      <c r="V40" s="5"/>
      <c r="W40" s="5"/>
      <c r="X40" s="5"/>
      <c r="Y40" s="5"/>
    </row>
    <row r="41" spans="2:25" ht="19" x14ac:dyDescent="0.2">
      <c r="F41" s="3"/>
      <c r="J41" s="178"/>
      <c r="Y41" s="5"/>
    </row>
    <row r="42" spans="2:25" ht="19" x14ac:dyDescent="0.25">
      <c r="F42" s="3"/>
      <c r="J42" s="178"/>
      <c r="S42" s="5"/>
      <c r="T42" s="370"/>
      <c r="U42" s="370"/>
      <c r="V42" s="5"/>
      <c r="W42" s="5"/>
      <c r="X42" s="5"/>
      <c r="Y42" s="364"/>
    </row>
    <row r="43" spans="2:25" x14ac:dyDescent="0.2">
      <c r="Y43" s="5"/>
    </row>
    <row r="44" spans="2:25" x14ac:dyDescent="0.2">
      <c r="L44" s="1"/>
    </row>
  </sheetData>
  <mergeCells count="4">
    <mergeCell ref="C29:F29"/>
    <mergeCell ref="G29:J29"/>
    <mergeCell ref="C28:F28"/>
    <mergeCell ref="G28:J28"/>
  </mergeCells>
  <conditionalFormatting sqref="G29 C29">
    <cfRule type="cellIs" dxfId="5" priority="1" operator="equal">
      <formula>"NO CONDENSATION"</formula>
    </cfRule>
    <cfRule type="cellIs" dxfId="4" priority="3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20"/>
  <dimension ref="B1:Y42"/>
  <sheetViews>
    <sheetView zoomScale="78" zoomScaleNormal="78" workbookViewId="0">
      <selection activeCell="L42" sqref="L42"/>
    </sheetView>
  </sheetViews>
  <sheetFormatPr baseColWidth="10" defaultColWidth="8.83203125" defaultRowHeight="15" x14ac:dyDescent="0.2"/>
  <cols>
    <col min="1" max="1" width="3.1640625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bestFit="1" customWidth="1"/>
    <col min="14" max="14" width="6.6640625" style="3" bestFit="1" customWidth="1"/>
    <col min="15" max="15" width="2.83203125" style="3" bestFit="1" customWidth="1"/>
    <col min="16" max="16" width="8.33203125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 x14ac:dyDescent="0.2"/>
    <row r="2" spans="3:24" ht="21" x14ac:dyDescent="0.25">
      <c r="C2" s="99" t="s">
        <v>586</v>
      </c>
      <c r="M2" s="340"/>
      <c r="N2" s="340"/>
      <c r="O2" s="340"/>
      <c r="P2" s="340"/>
      <c r="Q2" s="340"/>
      <c r="R2" s="340"/>
      <c r="S2" s="340"/>
      <c r="T2" s="340"/>
    </row>
    <row r="3" spans="3:24" ht="5.5" customHeight="1" thickBot="1" x14ac:dyDescent="0.3">
      <c r="C3" s="99"/>
      <c r="M3" s="340"/>
      <c r="N3" s="340"/>
      <c r="O3" s="340"/>
      <c r="P3" s="340"/>
      <c r="Q3" s="340"/>
      <c r="R3" s="340"/>
      <c r="S3" s="340"/>
      <c r="T3" s="340"/>
    </row>
    <row r="4" spans="3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293</v>
      </c>
      <c r="D6" s="53"/>
      <c r="E6" s="152">
        <f>Condensers!P7</f>
        <v>500</v>
      </c>
      <c r="F6" s="122" t="s">
        <v>2</v>
      </c>
      <c r="G6" s="141" t="s">
        <v>293</v>
      </c>
      <c r="H6" s="57"/>
      <c r="I6" s="146">
        <f>'CON2'!P38</f>
        <v>4.1680151808000003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/>
      <c r="D7" s="53"/>
      <c r="E7" s="152"/>
      <c r="F7" s="122"/>
      <c r="G7" s="141" t="s">
        <v>65</v>
      </c>
      <c r="H7" s="57"/>
      <c r="I7" s="146">
        <f>'Input-Results'!U8</f>
        <v>0.19352448000000003</v>
      </c>
      <c r="J7" s="64" t="s">
        <v>2</v>
      </c>
      <c r="L7" s="141" t="s">
        <v>163</v>
      </c>
      <c r="M7" s="146">
        <f>I6</f>
        <v>4.1680151808000003</v>
      </c>
      <c r="N7" s="145" t="s">
        <v>2</v>
      </c>
      <c r="O7" s="142" t="s">
        <v>31</v>
      </c>
      <c r="P7" s="147">
        <f>I14</f>
        <v>113.16915092315458</v>
      </c>
      <c r="Q7" s="262">
        <f>'Input-Results'!U12</f>
        <v>3</v>
      </c>
      <c r="S7" s="63" t="s">
        <v>163</v>
      </c>
      <c r="T7" s="185">
        <f>E6</f>
        <v>500</v>
      </c>
      <c r="U7" s="131" t="s">
        <v>2</v>
      </c>
      <c r="V7" s="128" t="s">
        <v>31</v>
      </c>
      <c r="W7" s="102">
        <f>E20</f>
        <v>15.669610946623864</v>
      </c>
      <c r="X7" s="261">
        <f>Condensers!P13</f>
        <v>3</v>
      </c>
    </row>
    <row r="8" spans="3:24" x14ac:dyDescent="0.2">
      <c r="C8" s="63"/>
      <c r="D8" s="53"/>
      <c r="E8" s="152"/>
      <c r="F8" s="122"/>
      <c r="G8" s="141" t="s">
        <v>103</v>
      </c>
      <c r="H8" s="57"/>
      <c r="I8" s="146">
        <f>'Input-Results'!U9</f>
        <v>1.0562400000000001</v>
      </c>
      <c r="J8" s="64" t="s">
        <v>2</v>
      </c>
      <c r="L8" s="141"/>
      <c r="M8" s="337">
        <f>M7/1000/60</f>
        <v>6.9466919680000004E-5</v>
      </c>
      <c r="N8" s="145" t="s">
        <v>3</v>
      </c>
      <c r="O8" s="142" t="s">
        <v>31</v>
      </c>
      <c r="P8" s="147">
        <f>P7</f>
        <v>113.16915092315458</v>
      </c>
      <c r="Q8" s="262">
        <f>Q7</f>
        <v>3</v>
      </c>
      <c r="S8" s="63"/>
      <c r="T8" s="339">
        <f>T7/1000/60</f>
        <v>8.3333333333333332E-3</v>
      </c>
      <c r="U8" s="131" t="s">
        <v>3</v>
      </c>
      <c r="V8" s="128" t="s">
        <v>31</v>
      </c>
      <c r="W8" s="102">
        <f>W7</f>
        <v>15.669610946623864</v>
      </c>
      <c r="X8" s="261">
        <f>X7</f>
        <v>3</v>
      </c>
    </row>
    <row r="9" spans="3:24" x14ac:dyDescent="0.2">
      <c r="C9" s="63"/>
      <c r="D9" s="53"/>
      <c r="E9" s="53"/>
      <c r="F9" s="122"/>
      <c r="G9" s="141" t="s">
        <v>104</v>
      </c>
      <c r="H9" s="57"/>
      <c r="I9" s="146">
        <f>'Input-Results'!U10</f>
        <v>2.4861999999999997</v>
      </c>
      <c r="J9" s="64" t="s">
        <v>2</v>
      </c>
      <c r="L9" s="141" t="s">
        <v>90</v>
      </c>
      <c r="M9" s="146">
        <f>I7</f>
        <v>0.19352448000000003</v>
      </c>
      <c r="N9" s="145" t="s">
        <v>2</v>
      </c>
      <c r="O9" s="142" t="s">
        <v>31</v>
      </c>
      <c r="P9" s="147">
        <f t="shared" ref="P9:Q14" si="0">P8</f>
        <v>113.16915092315458</v>
      </c>
      <c r="Q9" s="262">
        <f t="shared" si="0"/>
        <v>3</v>
      </c>
      <c r="S9" s="63"/>
      <c r="T9" s="185"/>
      <c r="U9" s="131"/>
      <c r="V9" s="128"/>
      <c r="W9" s="53"/>
      <c r="X9" s="261"/>
    </row>
    <row r="10" spans="3:24" x14ac:dyDescent="0.2">
      <c r="C10" s="63" t="s">
        <v>45</v>
      </c>
      <c r="D10" s="53"/>
      <c r="E10" s="152">
        <f>E6+E7+E8</f>
        <v>500</v>
      </c>
      <c r="F10" s="122" t="s">
        <v>2</v>
      </c>
      <c r="G10" s="141" t="s">
        <v>45</v>
      </c>
      <c r="H10" s="57"/>
      <c r="I10" s="146">
        <f>I6+I7+I8+I9</f>
        <v>7.9039796607999993</v>
      </c>
      <c r="J10" s="64" t="s">
        <v>2</v>
      </c>
      <c r="L10" s="141"/>
      <c r="M10" s="337">
        <f>M9/1000/60</f>
        <v>3.2254080000000003E-6</v>
      </c>
      <c r="N10" s="145" t="s">
        <v>3</v>
      </c>
      <c r="O10" s="142" t="s">
        <v>31</v>
      </c>
      <c r="P10" s="147">
        <f t="shared" si="0"/>
        <v>113.16915092315458</v>
      </c>
      <c r="Q10" s="262">
        <f t="shared" si="0"/>
        <v>3</v>
      </c>
      <c r="S10" s="63"/>
      <c r="T10" s="339"/>
      <c r="U10" s="131"/>
      <c r="V10" s="128"/>
      <c r="W10" s="53"/>
      <c r="X10" s="261"/>
    </row>
    <row r="11" spans="3:24" x14ac:dyDescent="0.2">
      <c r="C11" s="63" t="s">
        <v>45</v>
      </c>
      <c r="D11" s="53"/>
      <c r="E11" s="338">
        <f>E10/1000/60</f>
        <v>8.3333333333333332E-3</v>
      </c>
      <c r="F11" s="122" t="s">
        <v>3</v>
      </c>
      <c r="G11" s="141" t="s">
        <v>46</v>
      </c>
      <c r="H11" s="57"/>
      <c r="I11" s="337">
        <f>I10/1000/60</f>
        <v>1.3173299434666666E-4</v>
      </c>
      <c r="J11" s="64" t="s">
        <v>3</v>
      </c>
      <c r="L11" s="141" t="s">
        <v>103</v>
      </c>
      <c r="M11" s="146">
        <f>I8</f>
        <v>1.0562400000000001</v>
      </c>
      <c r="N11" s="145" t="s">
        <v>2</v>
      </c>
      <c r="O11" s="142" t="s">
        <v>31</v>
      </c>
      <c r="P11" s="147">
        <f t="shared" si="0"/>
        <v>113.16915092315458</v>
      </c>
      <c r="Q11" s="262">
        <f t="shared" si="0"/>
        <v>3</v>
      </c>
      <c r="S11" s="63"/>
      <c r="T11" s="152"/>
      <c r="U11" s="131"/>
      <c r="V11" s="128"/>
      <c r="W11" s="53"/>
      <c r="X11" s="261"/>
    </row>
    <row r="12" spans="3:24" ht="17" x14ac:dyDescent="0.25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3'!JJ9</f>
        <v>2257.2370789793849</v>
      </c>
      <c r="J12" s="64" t="s">
        <v>0</v>
      </c>
      <c r="L12" s="141"/>
      <c r="M12" s="337">
        <f>M11/1000/60</f>
        <v>1.7604000000000003E-5</v>
      </c>
      <c r="N12" s="145" t="s">
        <v>3</v>
      </c>
      <c r="O12" s="142" t="s">
        <v>31</v>
      </c>
      <c r="P12" s="147">
        <f t="shared" si="0"/>
        <v>113.16915092315458</v>
      </c>
      <c r="Q12" s="262">
        <f t="shared" si="0"/>
        <v>3</v>
      </c>
      <c r="S12" s="63"/>
      <c r="T12" s="338"/>
      <c r="U12" s="131"/>
      <c r="V12" s="128"/>
      <c r="W12" s="53"/>
      <c r="X12" s="261"/>
    </row>
    <row r="13" spans="3:24" ht="17" x14ac:dyDescent="0.25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0.29735259936427766</v>
      </c>
      <c r="J13" s="64" t="s">
        <v>8</v>
      </c>
      <c r="L13" s="141" t="s">
        <v>104</v>
      </c>
      <c r="M13" s="146">
        <f>I9</f>
        <v>2.4861999999999997</v>
      </c>
      <c r="N13" s="145" t="s">
        <v>2</v>
      </c>
      <c r="O13" s="142" t="s">
        <v>31</v>
      </c>
      <c r="P13" s="147">
        <f t="shared" si="0"/>
        <v>113.16915092315458</v>
      </c>
      <c r="Q13" s="262">
        <f t="shared" si="0"/>
        <v>3</v>
      </c>
      <c r="S13" s="63"/>
      <c r="T13" s="53"/>
      <c r="U13" s="131"/>
      <c r="V13" s="128"/>
      <c r="W13" s="53"/>
      <c r="X13" s="261"/>
    </row>
    <row r="14" spans="3:24" ht="18" thickBot="1" x14ac:dyDescent="0.3">
      <c r="C14" s="86" t="s">
        <v>466</v>
      </c>
      <c r="D14" s="87" t="s">
        <v>16</v>
      </c>
      <c r="E14" s="165">
        <f>Condensers!D17</f>
        <v>15</v>
      </c>
      <c r="F14" s="124" t="s">
        <v>7</v>
      </c>
      <c r="G14" s="148" t="s">
        <v>465</v>
      </c>
      <c r="H14" s="149" t="s">
        <v>17</v>
      </c>
      <c r="I14" s="388">
        <f>IF(Condensers!D22=0,'CON2'!I20,'CON2'!H30)</f>
        <v>113.16915092315458</v>
      </c>
      <c r="J14" s="151" t="s">
        <v>7</v>
      </c>
      <c r="L14" s="141"/>
      <c r="M14" s="337">
        <f>M13/1000/60</f>
        <v>4.1436666666666662E-5</v>
      </c>
      <c r="N14" s="145" t="s">
        <v>3</v>
      </c>
      <c r="O14" s="142" t="s">
        <v>31</v>
      </c>
      <c r="P14" s="147">
        <f t="shared" si="0"/>
        <v>113.16915092315458</v>
      </c>
      <c r="Q14" s="262">
        <f t="shared" si="0"/>
        <v>3</v>
      </c>
      <c r="S14" s="63"/>
      <c r="T14" s="53"/>
      <c r="U14" s="131"/>
      <c r="V14" s="128"/>
      <c r="W14" s="53"/>
      <c r="X14" s="261"/>
    </row>
    <row r="15" spans="3:24" x14ac:dyDescent="0.2">
      <c r="C15" s="83" t="s">
        <v>169</v>
      </c>
      <c r="D15" s="84" t="s">
        <v>15</v>
      </c>
      <c r="E15" s="260">
        <f>Condensers!D30</f>
        <v>0.8</v>
      </c>
      <c r="F15" s="260"/>
      <c r="G15" s="450"/>
      <c r="H15" s="450"/>
      <c r="I15" s="450"/>
      <c r="J15" s="451"/>
      <c r="L15" s="141"/>
      <c r="M15" s="57"/>
      <c r="N15" s="142"/>
      <c r="O15" s="142"/>
      <c r="P15" s="57"/>
      <c r="Q15" s="262"/>
      <c r="S15" s="63"/>
      <c r="T15" s="53"/>
      <c r="U15" s="53"/>
      <c r="V15" s="53"/>
      <c r="W15" s="53"/>
      <c r="X15" s="122"/>
    </row>
    <row r="16" spans="3:24" x14ac:dyDescent="0.2">
      <c r="C16" s="83" t="s">
        <v>188</v>
      </c>
      <c r="D16" s="85" t="s">
        <v>53</v>
      </c>
      <c r="E16" s="260">
        <f>Condensers!D23</f>
        <v>1</v>
      </c>
      <c r="F16" s="61" t="s">
        <v>63</v>
      </c>
      <c r="G16" s="62"/>
      <c r="H16" s="62"/>
      <c r="I16" s="62"/>
      <c r="J16" s="66"/>
      <c r="L16" s="141" t="s">
        <v>164</v>
      </c>
      <c r="M16" s="146">
        <f>(1/461.52)*(100000*Q16/(P16+273))</f>
        <v>1.6832675512430897</v>
      </c>
      <c r="N16" s="145" t="s">
        <v>23</v>
      </c>
      <c r="O16" s="142" t="s">
        <v>31</v>
      </c>
      <c r="P16" s="147">
        <f>P7</f>
        <v>113.16915092315458</v>
      </c>
      <c r="Q16" s="262">
        <f>Q10</f>
        <v>3</v>
      </c>
      <c r="S16" s="63" t="s">
        <v>164</v>
      </c>
      <c r="T16" s="152">
        <v>1000</v>
      </c>
      <c r="U16" s="131" t="s">
        <v>23</v>
      </c>
      <c r="V16" s="128" t="s">
        <v>31</v>
      </c>
      <c r="W16" s="102">
        <f>W7</f>
        <v>15.669610946623864</v>
      </c>
      <c r="X16" s="261">
        <f>X7</f>
        <v>3</v>
      </c>
    </row>
    <row r="17" spans="3:24" x14ac:dyDescent="0.2">
      <c r="C17" s="83" t="s">
        <v>56</v>
      </c>
      <c r="D17" s="85" t="s">
        <v>57</v>
      </c>
      <c r="E17" s="103">
        <f>MIN(E13,I13)/MAX(E13:I13)</f>
        <v>8.5262394082946998E-3</v>
      </c>
      <c r="F17" s="61"/>
      <c r="G17" s="62"/>
      <c r="H17" s="62"/>
      <c r="I17" s="62"/>
      <c r="J17" s="66"/>
      <c r="L17" s="141" t="s">
        <v>91</v>
      </c>
      <c r="M17" s="146">
        <f>(1/4124.2)*(100000*Q17/(P17+273))</f>
        <v>0.18836662631533652</v>
      </c>
      <c r="N17" s="145" t="s">
        <v>23</v>
      </c>
      <c r="O17" s="142" t="s">
        <v>31</v>
      </c>
      <c r="P17" s="147">
        <f>P8</f>
        <v>113.16915092315458</v>
      </c>
      <c r="Q17" s="262">
        <f>Q16</f>
        <v>3</v>
      </c>
      <c r="S17" s="63"/>
      <c r="T17" s="152"/>
      <c r="U17" s="131"/>
      <c r="V17" s="128"/>
      <c r="W17" s="53"/>
      <c r="X17" s="261"/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141" t="s">
        <v>161</v>
      </c>
      <c r="M18" s="146">
        <f>(1/188.92)*(100000*Q19/(P19+273))</f>
        <v>4.1121196286772754</v>
      </c>
      <c r="N18" s="145" t="s">
        <v>23</v>
      </c>
      <c r="O18" s="142" t="s">
        <v>31</v>
      </c>
      <c r="P18" s="147">
        <f>P9</f>
        <v>113.16915092315458</v>
      </c>
      <c r="Q18" s="262">
        <f>Q17</f>
        <v>3</v>
      </c>
      <c r="S18" s="63"/>
      <c r="T18" s="152"/>
      <c r="U18" s="131"/>
      <c r="V18" s="128"/>
      <c r="W18" s="102"/>
      <c r="X18" s="261"/>
    </row>
    <row r="19" spans="3:24" ht="17" x14ac:dyDescent="0.25">
      <c r="C19" s="65" t="s">
        <v>14</v>
      </c>
      <c r="D19" s="60" t="s">
        <v>18</v>
      </c>
      <c r="E19" s="105">
        <f>E18*MIN(E13,I13)*(I14-E14)</f>
        <v>23.352681763507274</v>
      </c>
      <c r="F19" s="61" t="s">
        <v>1</v>
      </c>
      <c r="G19" s="62" t="s">
        <v>22</v>
      </c>
      <c r="H19" s="62"/>
      <c r="I19" s="62"/>
      <c r="J19" s="66"/>
      <c r="L19" s="141" t="s">
        <v>162</v>
      </c>
      <c r="M19" s="146">
        <f>(1/518.28)*(100000*Q20/(P20+273))</f>
        <v>1.4989226677659004</v>
      </c>
      <c r="N19" s="145" t="s">
        <v>23</v>
      </c>
      <c r="O19" s="142" t="s">
        <v>31</v>
      </c>
      <c r="P19" s="147">
        <f>P9</f>
        <v>113.16915092315458</v>
      </c>
      <c r="Q19" s="262">
        <f>Q12</f>
        <v>3</v>
      </c>
      <c r="S19" s="63"/>
      <c r="T19" s="53"/>
      <c r="U19" s="53"/>
      <c r="V19" s="53"/>
      <c r="W19" s="53"/>
      <c r="X19" s="122"/>
    </row>
    <row r="20" spans="3:24" ht="17" x14ac:dyDescent="0.25">
      <c r="C20" s="287" t="s">
        <v>64</v>
      </c>
      <c r="D20" s="106" t="s">
        <v>20</v>
      </c>
      <c r="E20" s="444">
        <f>E14+E19/E13</f>
        <v>15.669610946623864</v>
      </c>
      <c r="F20" s="289" t="s">
        <v>7</v>
      </c>
      <c r="G20" s="446" t="s">
        <v>583</v>
      </c>
      <c r="H20" s="446" t="s">
        <v>21</v>
      </c>
      <c r="I20" s="447">
        <f>I14-E19/I13</f>
        <v>34.633830184630909</v>
      </c>
      <c r="J20" s="448" t="s">
        <v>7</v>
      </c>
      <c r="L20" s="141" t="s">
        <v>629</v>
      </c>
      <c r="M20" s="146">
        <f>1/(((I6/I10)/M16)+((I7/I10)/M17)+((I8/I10)/M18)+((I9/I10)/M19))</f>
        <v>1.458555675748874</v>
      </c>
      <c r="N20" s="145" t="s">
        <v>23</v>
      </c>
      <c r="O20" s="142" t="s">
        <v>31</v>
      </c>
      <c r="P20" s="147">
        <f>P10</f>
        <v>113.16915092315458</v>
      </c>
      <c r="Q20" s="262">
        <f>Q19</f>
        <v>3</v>
      </c>
      <c r="S20" s="63"/>
      <c r="T20" s="53"/>
      <c r="U20" s="53"/>
      <c r="V20" s="53"/>
      <c r="W20" s="53"/>
      <c r="X20" s="122"/>
    </row>
    <row r="21" spans="3:24" x14ac:dyDescent="0.2">
      <c r="C21" s="287" t="s">
        <v>278</v>
      </c>
      <c r="D21" s="106"/>
      <c r="E21" s="732">
        <v>94.813278008298752</v>
      </c>
      <c r="F21" s="53" t="s">
        <v>77</v>
      </c>
      <c r="G21" s="107" t="s">
        <v>279</v>
      </c>
      <c r="H21" s="107"/>
      <c r="I21" s="201">
        <f>IF(E16=0,0,100*(H30-I20)/(I14-I20))</f>
        <v>93.864026305951882</v>
      </c>
      <c r="J21" s="108" t="s">
        <v>77</v>
      </c>
      <c r="L21" s="141"/>
      <c r="M21" s="146"/>
      <c r="N21" s="145"/>
      <c r="O21" s="142"/>
      <c r="P21" s="147"/>
      <c r="Q21" s="262"/>
      <c r="S21" s="63"/>
      <c r="T21" s="53"/>
      <c r="U21" s="53"/>
      <c r="V21" s="53"/>
      <c r="W21" s="53"/>
      <c r="X21" s="122"/>
    </row>
    <row r="22" spans="3:24" ht="16" thickBot="1" x14ac:dyDescent="0.25">
      <c r="C22" s="86" t="s">
        <v>271</v>
      </c>
      <c r="D22" s="87"/>
      <c r="E22" s="165">
        <f>IF((P40&gt;0)*AND(E16&gt;0),E20+(E21/100)*(P40/(E12*(E6/1000/60))),E20)</f>
        <v>19.545985550648314</v>
      </c>
      <c r="F22" s="87" t="s">
        <v>7</v>
      </c>
      <c r="G22" s="149"/>
      <c r="H22" s="149"/>
      <c r="I22" s="445"/>
      <c r="J22" s="151"/>
      <c r="L22" s="141" t="s">
        <v>184</v>
      </c>
      <c r="M22" s="58">
        <f>(3600*M8/M16)+(3600*M10/M17)+(3600*M12/M18)+(3600*M14/M19)</f>
        <v>0.32514273368722041</v>
      </c>
      <c r="N22" s="145" t="s">
        <v>25</v>
      </c>
      <c r="O22" s="142" t="s">
        <v>31</v>
      </c>
      <c r="P22" s="147">
        <f>P7</f>
        <v>113.16915092315458</v>
      </c>
      <c r="Q22" s="262">
        <f>Q7</f>
        <v>3</v>
      </c>
      <c r="S22" s="63" t="s">
        <v>24</v>
      </c>
      <c r="T22" s="184">
        <f>(3600*T8/T16)</f>
        <v>0.03</v>
      </c>
      <c r="U22" s="131" t="s">
        <v>25</v>
      </c>
      <c r="V22" s="128" t="s">
        <v>31</v>
      </c>
      <c r="W22" s="102">
        <f>W7</f>
        <v>15.669610946623864</v>
      </c>
      <c r="X22" s="261">
        <f>X7</f>
        <v>3</v>
      </c>
    </row>
    <row r="23" spans="3:24" ht="16" thickBot="1" x14ac:dyDescent="0.25">
      <c r="C23" s="5"/>
      <c r="D23" s="5"/>
      <c r="E23" s="5"/>
      <c r="F23" s="168"/>
      <c r="G23" s="5"/>
      <c r="H23" s="5"/>
      <c r="I23" s="5"/>
      <c r="J23" s="5"/>
      <c r="L23" s="141"/>
      <c r="M23" s="59">
        <f>M22*1000/60</f>
        <v>5.4190455614536734</v>
      </c>
      <c r="N23" s="145" t="s">
        <v>49</v>
      </c>
      <c r="O23" s="142" t="s">
        <v>31</v>
      </c>
      <c r="P23" s="147">
        <f>P22</f>
        <v>113.16915092315458</v>
      </c>
      <c r="Q23" s="262">
        <f>Q22</f>
        <v>3</v>
      </c>
      <c r="S23" s="63"/>
      <c r="T23" s="152">
        <f>T22*1000/60</f>
        <v>0.5</v>
      </c>
      <c r="U23" s="131" t="s">
        <v>49</v>
      </c>
      <c r="V23" s="128" t="str">
        <f>V8</f>
        <v>@</v>
      </c>
      <c r="W23" s="102">
        <f>W8</f>
        <v>15.669610946623864</v>
      </c>
      <c r="X23" s="261">
        <f>X22</f>
        <v>3</v>
      </c>
    </row>
    <row r="24" spans="3:24" x14ac:dyDescent="0.2">
      <c r="C24" s="365" t="s">
        <v>181</v>
      </c>
      <c r="D24" s="366" t="s">
        <v>182</v>
      </c>
      <c r="E24" s="367"/>
      <c r="F24" s="367"/>
      <c r="G24" s="366"/>
      <c r="H24" s="366"/>
      <c r="I24" s="366"/>
      <c r="J24" s="368"/>
      <c r="L24" s="141"/>
      <c r="M24" s="57"/>
      <c r="N24" s="142"/>
      <c r="O24" s="142"/>
      <c r="P24" s="57"/>
      <c r="Q24" s="262"/>
      <c r="S24" s="63"/>
      <c r="T24" s="53"/>
      <c r="U24" s="53"/>
      <c r="V24" s="53"/>
      <c r="W24" s="53"/>
      <c r="X24" s="122"/>
    </row>
    <row r="25" spans="3:24" x14ac:dyDescent="0.2">
      <c r="C25" s="213" t="s">
        <v>179</v>
      </c>
      <c r="D25" s="360">
        <f>I14</f>
        <v>113.16915092315458</v>
      </c>
      <c r="E25" s="371" t="s">
        <v>7</v>
      </c>
      <c r="F25" s="361"/>
      <c r="G25" s="93" t="s">
        <v>180</v>
      </c>
      <c r="H25" s="309">
        <f>I20</f>
        <v>34.633830184630909</v>
      </c>
      <c r="I25" s="374" t="s">
        <v>7</v>
      </c>
      <c r="J25" s="369"/>
      <c r="L25" s="141" t="s">
        <v>191</v>
      </c>
      <c r="M25" s="58">
        <f>M22*(I20+273)/(I14+273)</f>
        <v>0.25901837130642635</v>
      </c>
      <c r="N25" s="145" t="s">
        <v>25</v>
      </c>
      <c r="O25" s="142" t="s">
        <v>31</v>
      </c>
      <c r="P25" s="147">
        <f>I20</f>
        <v>34.633830184630909</v>
      </c>
      <c r="Q25" s="262">
        <f>Q8</f>
        <v>3</v>
      </c>
      <c r="S25" s="63"/>
      <c r="T25" s="53"/>
      <c r="U25" s="53"/>
      <c r="V25" s="53"/>
      <c r="W25" s="53"/>
      <c r="X25" s="122"/>
    </row>
    <row r="26" spans="3:24" x14ac:dyDescent="0.2">
      <c r="C26" s="96" t="s">
        <v>178</v>
      </c>
      <c r="D26" s="94">
        <f>0.01*0.61078*EXP((17.27*D25)/(D25+237.3))</f>
        <v>1.6135319648472046</v>
      </c>
      <c r="E26" s="372" t="s">
        <v>177</v>
      </c>
      <c r="F26" s="359"/>
      <c r="G26" s="93" t="s">
        <v>178</v>
      </c>
      <c r="H26" s="98">
        <f>0.01*0.61078*EXP((17.27*H25)/(H25+237.3))</f>
        <v>5.5097000729353314E-2</v>
      </c>
      <c r="I26" s="374" t="s">
        <v>177</v>
      </c>
      <c r="J26" s="369"/>
      <c r="K26" s="5"/>
      <c r="L26" s="141"/>
      <c r="M26" s="59">
        <f>M25*1000/60</f>
        <v>4.3169728551071058</v>
      </c>
      <c r="N26" s="145" t="s">
        <v>49</v>
      </c>
      <c r="O26" s="142" t="s">
        <v>31</v>
      </c>
      <c r="P26" s="147">
        <f>P25</f>
        <v>34.633830184630909</v>
      </c>
      <c r="Q26" s="262">
        <f>Q25</f>
        <v>3</v>
      </c>
      <c r="S26" s="63"/>
      <c r="T26" s="152"/>
      <c r="U26" s="131"/>
      <c r="V26" s="128"/>
      <c r="W26" s="102"/>
      <c r="X26" s="261"/>
    </row>
    <row r="27" spans="3:24" x14ac:dyDescent="0.2">
      <c r="C27" s="336" t="s">
        <v>183</v>
      </c>
      <c r="D27" s="362">
        <f>(((I6/Condensers!D7)/60)*8.3144598*(D25+273)/('CON3'!M22/3600))/100000</f>
        <v>1.3708094456951332</v>
      </c>
      <c r="E27" s="373" t="s">
        <v>177</v>
      </c>
      <c r="F27" s="363"/>
      <c r="G27" s="93" t="s">
        <v>183</v>
      </c>
      <c r="H27" s="94">
        <f>(((I6/Condensers!D7)/60)*8.3144598*(H25+273)/('CON3'!M25/3600))/100000</f>
        <v>1.3708094456951334</v>
      </c>
      <c r="I27" s="374" t="s">
        <v>177</v>
      </c>
      <c r="J27" s="369"/>
      <c r="K27" s="5"/>
      <c r="L27" s="141"/>
      <c r="M27" s="57"/>
      <c r="N27" s="142"/>
      <c r="O27" s="142"/>
      <c r="P27" s="57"/>
      <c r="Q27" s="262"/>
      <c r="S27" s="63"/>
      <c r="T27" s="53"/>
      <c r="U27" s="53"/>
      <c r="V27" s="53"/>
      <c r="W27" s="53"/>
      <c r="X27" s="122"/>
    </row>
    <row r="28" spans="3:24" ht="19" x14ac:dyDescent="0.25">
      <c r="C28" s="839" t="s">
        <v>185</v>
      </c>
      <c r="D28" s="840"/>
      <c r="E28" s="840"/>
      <c r="F28" s="841"/>
      <c r="G28" s="842" t="s">
        <v>186</v>
      </c>
      <c r="H28" s="840"/>
      <c r="I28" s="840"/>
      <c r="J28" s="843"/>
      <c r="K28" s="5"/>
      <c r="L28" s="769" t="s">
        <v>634</v>
      </c>
      <c r="M28" s="58">
        <f>((3600*M10/M17)+(3600*M12/M18)+(3600*M14/M19))*(I20+273)/(I14+273)+((100-E21)/100)*(3600*M8/M16)*(I20+273)/(I14+273)</f>
        <v>0.14680281463641062</v>
      </c>
      <c r="N28" s="145" t="s">
        <v>25</v>
      </c>
      <c r="O28" s="142" t="s">
        <v>31</v>
      </c>
      <c r="P28" s="147">
        <f>I20</f>
        <v>34.633830184630909</v>
      </c>
      <c r="Q28" s="262">
        <f>Q9</f>
        <v>3</v>
      </c>
      <c r="S28" s="63"/>
      <c r="T28" s="53"/>
      <c r="U28" s="53"/>
      <c r="V28" s="53"/>
      <c r="W28" s="53"/>
      <c r="X28" s="122"/>
    </row>
    <row r="29" spans="3:24" ht="20" thickBot="1" x14ac:dyDescent="0.3">
      <c r="C29" s="844" t="str">
        <f>IF(D26&lt;D27,"CONDENSATION","NO CONDENSATION")</f>
        <v>NO CONDENSATION</v>
      </c>
      <c r="D29" s="845"/>
      <c r="E29" s="845"/>
      <c r="F29" s="846"/>
      <c r="G29" s="847" t="str">
        <f>IF(H26&lt;H27,"CONDENSATION","NO CONDENSATION")</f>
        <v>CONDENSATION</v>
      </c>
      <c r="H29" s="845"/>
      <c r="I29" s="845"/>
      <c r="J29" s="848"/>
      <c r="K29" s="5"/>
      <c r="L29" s="770"/>
      <c r="M29" s="337">
        <f>(M28*((P29+273)/(P28+273))*(Q28/Q29))/3600</f>
        <v>1.0716975683050899E-4</v>
      </c>
      <c r="N29" s="145" t="s">
        <v>337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21.5" customHeight="1" thickBot="1" x14ac:dyDescent="0.25">
      <c r="G30" s="728" t="s">
        <v>231</v>
      </c>
      <c r="H30" s="729">
        <f>(237.3*LN(((H27*100)/0.61078)))/(17.27-(LN(((H27*100)/0.61078))))</f>
        <v>108.35024430210245</v>
      </c>
      <c r="I30" s="730" t="s">
        <v>7</v>
      </c>
      <c r="J30" s="731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 x14ac:dyDescent="0.25">
      <c r="K31" s="5"/>
      <c r="L31" s="141"/>
      <c r="M31" s="147">
        <f>M22*1000/60</f>
        <v>5.4190455614536734</v>
      </c>
      <c r="N31" s="145" t="s">
        <v>49</v>
      </c>
      <c r="O31" s="142" t="s">
        <v>31</v>
      </c>
      <c r="P31" s="147">
        <f>P7</f>
        <v>113.16915092315458</v>
      </c>
      <c r="Q31" s="262">
        <f>Q7</f>
        <v>3</v>
      </c>
      <c r="S31" s="63"/>
      <c r="T31" s="152"/>
      <c r="U31" s="131"/>
      <c r="V31" s="128"/>
      <c r="W31" s="102"/>
      <c r="X31" s="261"/>
    </row>
    <row r="32" spans="3:24" ht="20" thickBot="1" x14ac:dyDescent="0.3">
      <c r="D32" s="119">
        <f>E16</f>
        <v>1</v>
      </c>
      <c r="E32" s="118" t="s">
        <v>165</v>
      </c>
      <c r="F32" s="116"/>
      <c r="J32" s="5"/>
      <c r="K32" s="5"/>
      <c r="L32" s="141"/>
      <c r="M32" s="147">
        <f>M31*((P32+273)/($P$31+273))*($Q$31/Q32)</f>
        <v>11.345396586419122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 x14ac:dyDescent="0.25">
      <c r="C33" s="2"/>
      <c r="D33" s="120"/>
      <c r="E33" s="2"/>
      <c r="F33" s="121"/>
      <c r="J33" s="5"/>
      <c r="K33" s="5"/>
      <c r="L33" s="141"/>
      <c r="M33" s="147">
        <f>M31*((P33+273)/($P$31+273))*($Q$31/Q33)</f>
        <v>12.176561171504771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 x14ac:dyDescent="0.25">
      <c r="B34" s="70">
        <f>IF(E16=0,I20,H30)</f>
        <v>108.35024430210245</v>
      </c>
      <c r="C34" s="90" t="s">
        <v>7</v>
      </c>
      <c r="D34" s="110"/>
      <c r="E34" s="2"/>
      <c r="F34" s="114"/>
      <c r="G34" s="199">
        <f>I14</f>
        <v>113.16915092315458</v>
      </c>
      <c r="H34" s="68" t="s">
        <v>7</v>
      </c>
      <c r="I34" s="68"/>
      <c r="K34" s="174"/>
      <c r="L34" s="141"/>
      <c r="M34" s="147">
        <f>M31*2.119*((273+P34)/(273+P31))*(Q31/Q34)</f>
        <v>25.802133122418613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 x14ac:dyDescent="0.3">
      <c r="B35" s="264">
        <f>I10</f>
        <v>7.9039796607999993</v>
      </c>
      <c r="C35" s="68" t="s">
        <v>111</v>
      </c>
      <c r="D35" s="111"/>
      <c r="E35" s="2"/>
      <c r="F35" s="112"/>
      <c r="G35" s="200">
        <f>I10</f>
        <v>7.9039796607999993</v>
      </c>
      <c r="H35" s="68" t="s">
        <v>111</v>
      </c>
      <c r="I35" s="68"/>
      <c r="J35" s="5"/>
      <c r="K35" s="179"/>
      <c r="L35" s="148"/>
      <c r="M35" s="195">
        <f>M34/60</f>
        <v>0.43003555204031024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/>
      <c r="U35" s="198"/>
      <c r="V35" s="132"/>
      <c r="W35" s="87"/>
      <c r="X35" s="124"/>
    </row>
    <row r="36" spans="2:25" ht="20" thickBot="1" x14ac:dyDescent="0.3">
      <c r="B36" s="69"/>
      <c r="C36" s="69"/>
      <c r="D36" s="112"/>
      <c r="E36" s="2"/>
      <c r="F36" s="112"/>
      <c r="G36" s="69"/>
      <c r="H36" s="69"/>
      <c r="I36" s="69"/>
      <c r="J36" s="5"/>
      <c r="K36" s="5"/>
      <c r="X36" s="5"/>
    </row>
    <row r="37" spans="2:25" ht="19" x14ac:dyDescent="0.25">
      <c r="B37" s="180">
        <f>E14</f>
        <v>15</v>
      </c>
      <c r="C37" s="89" t="s">
        <v>7</v>
      </c>
      <c r="D37" s="112"/>
      <c r="E37" s="2"/>
      <c r="F37" s="112"/>
      <c r="G37" s="346">
        <f>E22</f>
        <v>19.545985550648314</v>
      </c>
      <c r="H37" s="67" t="s">
        <v>7</v>
      </c>
      <c r="I37" s="69"/>
      <c r="J37" s="5"/>
      <c r="K37" s="5"/>
      <c r="L37" s="792" t="s">
        <v>195</v>
      </c>
      <c r="M37" s="793"/>
      <c r="N37" s="794"/>
      <c r="O37" s="795"/>
      <c r="P37" s="802">
        <f>IF(E16&gt;0,((100-E21)/100)*I6/'Input-Results'!D7,I6/'Input-Results'!D7)</f>
        <v>1.2000000000000009E-2</v>
      </c>
      <c r="Q37" s="380" t="s">
        <v>194</v>
      </c>
      <c r="R37" s="5"/>
      <c r="S37" s="237"/>
      <c r="T37" s="805"/>
      <c r="Y37" s="5"/>
    </row>
    <row r="38" spans="2:25" ht="20" thickBot="1" x14ac:dyDescent="0.3">
      <c r="B38" s="180">
        <f>E10</f>
        <v>500</v>
      </c>
      <c r="C38" s="67" t="s">
        <v>166</v>
      </c>
      <c r="D38" s="113"/>
      <c r="E38" s="2"/>
      <c r="F38" s="115"/>
      <c r="G38" s="180">
        <f>B38</f>
        <v>500</v>
      </c>
      <c r="H38" s="67" t="s">
        <v>166</v>
      </c>
      <c r="I38" s="69"/>
      <c r="J38" s="5"/>
      <c r="K38" s="5"/>
      <c r="L38" s="762"/>
      <c r="M38" s="749"/>
      <c r="N38" s="797"/>
      <c r="O38" s="798"/>
      <c r="P38" s="791">
        <f>P37*'Input-Results'!D7</f>
        <v>0.21618336000000016</v>
      </c>
      <c r="Q38" s="385" t="s">
        <v>2</v>
      </c>
      <c r="S38" s="803"/>
      <c r="T38" s="5"/>
      <c r="U38" s="5"/>
      <c r="V38" s="5"/>
      <c r="W38" s="5"/>
      <c r="Y38" s="5"/>
    </row>
    <row r="39" spans="2:25" ht="16" thickBot="1" x14ac:dyDescent="0.25">
      <c r="D39" s="120"/>
      <c r="E39" s="2"/>
      <c r="F39" s="121"/>
      <c r="J39" s="5"/>
      <c r="K39" s="5"/>
      <c r="L39" s="406" t="s">
        <v>204</v>
      </c>
      <c r="M39" s="281"/>
      <c r="N39" s="407"/>
      <c r="O39" s="408"/>
      <c r="P39" s="796">
        <f>(I6-P38)/'Input-Results'!D7</f>
        <v>0.21936</v>
      </c>
      <c r="Q39" s="283" t="s">
        <v>194</v>
      </c>
      <c r="S39" s="237"/>
      <c r="T39" s="2"/>
      <c r="U39" s="5"/>
      <c r="V39" s="5"/>
      <c r="W39" s="5"/>
      <c r="X39" s="5"/>
      <c r="Y39" s="5"/>
    </row>
    <row r="40" spans="2:25" ht="20" thickBot="1" x14ac:dyDescent="0.3">
      <c r="D40" s="100" t="s">
        <v>61</v>
      </c>
      <c r="E40" s="117">
        <f>E19+P40</f>
        <v>165.93668176350727</v>
      </c>
      <c r="F40" s="101" t="s">
        <v>1</v>
      </c>
      <c r="J40" s="174"/>
      <c r="L40" s="381" t="s">
        <v>205</v>
      </c>
      <c r="M40" s="382"/>
      <c r="N40" s="383"/>
      <c r="O40" s="405"/>
      <c r="P40" s="409">
        <f>IF(E16&gt;0,P39*39000/60,0)</f>
        <v>142.584</v>
      </c>
      <c r="Q40" s="385" t="s">
        <v>1</v>
      </c>
      <c r="S40" s="804"/>
      <c r="T40" s="5"/>
      <c r="U40" s="5"/>
      <c r="V40" s="5"/>
      <c r="W40" s="5"/>
      <c r="X40" s="5"/>
      <c r="Y40" s="5"/>
    </row>
    <row r="41" spans="2:25" ht="19" x14ac:dyDescent="0.25">
      <c r="F41" s="3"/>
      <c r="J41" s="178"/>
      <c r="T41" s="5"/>
      <c r="U41" s="5"/>
      <c r="V41" s="5"/>
      <c r="W41" s="5"/>
      <c r="X41" s="5"/>
      <c r="Y41" s="364"/>
    </row>
    <row r="42" spans="2:25" ht="19" x14ac:dyDescent="0.2">
      <c r="F42" s="3"/>
      <c r="J42" s="178"/>
      <c r="X42" s="5"/>
      <c r="Y42" s="5"/>
    </row>
  </sheetData>
  <mergeCells count="4">
    <mergeCell ref="C28:F28"/>
    <mergeCell ref="G28:J28"/>
    <mergeCell ref="C29:F29"/>
    <mergeCell ref="G29:J29"/>
  </mergeCells>
  <conditionalFormatting sqref="G29 C29">
    <cfRule type="cellIs" dxfId="3" priority="1" operator="equal">
      <formula>"NO CONDENSATION"</formula>
    </cfRule>
    <cfRule type="cellIs" dxfId="2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23"/>
  <dimension ref="B1:Y43"/>
  <sheetViews>
    <sheetView zoomScale="78" zoomScaleNormal="78" workbookViewId="0">
      <selection activeCell="L42" sqref="L42"/>
    </sheetView>
  </sheetViews>
  <sheetFormatPr baseColWidth="10" defaultColWidth="8.83203125" defaultRowHeight="15" x14ac:dyDescent="0.2"/>
  <cols>
    <col min="1" max="1" width="3.1640625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bestFit="1" customWidth="1"/>
    <col min="15" max="15" width="2.83203125" style="3" bestFit="1" customWidth="1"/>
    <col min="16" max="16" width="8.33203125" customWidth="1"/>
    <col min="17" max="17" width="7.83203125" customWidth="1"/>
    <col min="18" max="18" width="1.5" customWidth="1"/>
    <col min="19" max="19" width="22.5" customWidth="1"/>
    <col min="20" max="20" width="8.33203125" customWidth="1"/>
    <col min="21" max="21" width="6.6640625" bestFit="1" customWidth="1"/>
    <col min="22" max="22" width="2.83203125" bestFit="1" customWidth="1"/>
    <col min="23" max="23" width="6.1640625" bestFit="1" customWidth="1"/>
    <col min="24" max="24" width="6.6640625" bestFit="1" customWidth="1"/>
    <col min="26" max="26" width="12.5" bestFit="1" customWidth="1"/>
  </cols>
  <sheetData>
    <row r="1" spans="3:24" ht="6" customHeight="1" x14ac:dyDescent="0.2"/>
    <row r="2" spans="3:24" ht="21" x14ac:dyDescent="0.25">
      <c r="C2" s="99" t="s">
        <v>585</v>
      </c>
      <c r="M2" s="340"/>
      <c r="N2" s="340"/>
      <c r="O2" s="340"/>
      <c r="P2" s="340"/>
      <c r="Q2" s="340"/>
      <c r="R2" s="340"/>
      <c r="S2" s="340"/>
      <c r="T2" s="340"/>
    </row>
    <row r="3" spans="3:24" ht="5.5" customHeight="1" thickBot="1" x14ac:dyDescent="0.3">
      <c r="C3" s="99"/>
      <c r="M3" s="340"/>
      <c r="N3" s="340"/>
      <c r="O3" s="340"/>
      <c r="P3" s="340"/>
      <c r="Q3" s="340"/>
      <c r="R3" s="340"/>
      <c r="S3" s="340"/>
      <c r="T3" s="340"/>
    </row>
    <row r="4" spans="3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293</v>
      </c>
      <c r="D6" s="53"/>
      <c r="E6" s="95">
        <f>Condensers!Q7</f>
        <v>500</v>
      </c>
      <c r="F6" s="122" t="s">
        <v>2</v>
      </c>
      <c r="G6" s="141" t="s">
        <v>277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/>
      <c r="D7" s="53"/>
      <c r="E7" s="152"/>
      <c r="F7" s="122"/>
      <c r="G7" s="141" t="s">
        <v>65</v>
      </c>
      <c r="H7" s="57"/>
      <c r="I7" s="146">
        <f>'Input-Results'!W8</f>
        <v>0</v>
      </c>
      <c r="J7" s="64" t="s">
        <v>2</v>
      </c>
      <c r="L7" s="141" t="s">
        <v>163</v>
      </c>
      <c r="M7" s="146">
        <f>I6</f>
        <v>1.0809168</v>
      </c>
      <c r="N7" s="145" t="s">
        <v>2</v>
      </c>
      <c r="O7" s="142" t="s">
        <v>31</v>
      </c>
      <c r="P7" s="147">
        <f>I14</f>
        <v>147.394793844221</v>
      </c>
      <c r="Q7" s="262">
        <f>'Input-Results'!U12</f>
        <v>3</v>
      </c>
      <c r="S7" s="63" t="s">
        <v>163</v>
      </c>
      <c r="T7" s="185">
        <f>E6</f>
        <v>500</v>
      </c>
      <c r="U7" s="131" t="s">
        <v>2</v>
      </c>
      <c r="V7" s="128" t="s">
        <v>31</v>
      </c>
      <c r="W7" s="102">
        <f>E20</f>
        <v>15.484183515651509</v>
      </c>
      <c r="X7" s="261">
        <f>Condensers!Q13</f>
        <v>2.5</v>
      </c>
    </row>
    <row r="8" spans="3:24" x14ac:dyDescent="0.2">
      <c r="C8" s="63"/>
      <c r="D8" s="53"/>
      <c r="E8" s="152"/>
      <c r="F8" s="122"/>
      <c r="G8" s="141" t="s">
        <v>103</v>
      </c>
      <c r="H8" s="57"/>
      <c r="I8" s="146">
        <f>'Input-Results'!W9</f>
        <v>0</v>
      </c>
      <c r="J8" s="64" t="s">
        <v>2</v>
      </c>
      <c r="L8" s="141"/>
      <c r="M8" s="337">
        <f>M7/1000/60</f>
        <v>1.8015279999999999E-5</v>
      </c>
      <c r="N8" s="145" t="s">
        <v>3</v>
      </c>
      <c r="O8" s="142" t="s">
        <v>31</v>
      </c>
      <c r="P8" s="147">
        <f>P7</f>
        <v>147.394793844221</v>
      </c>
      <c r="Q8" s="262">
        <f>Q7</f>
        <v>3</v>
      </c>
      <c r="S8" s="63"/>
      <c r="T8" s="339">
        <f>T7/1000/60</f>
        <v>8.3333333333333332E-3</v>
      </c>
      <c r="U8" s="131" t="s">
        <v>3</v>
      </c>
      <c r="V8" s="128" t="s">
        <v>31</v>
      </c>
      <c r="W8" s="102">
        <f>W7</f>
        <v>15.484183515651509</v>
      </c>
      <c r="X8" s="261">
        <f>X7</f>
        <v>2.5</v>
      </c>
    </row>
    <row r="9" spans="3:24" x14ac:dyDescent="0.2">
      <c r="C9" s="63"/>
      <c r="D9" s="53"/>
      <c r="E9" s="53"/>
      <c r="F9" s="122"/>
      <c r="G9" s="141" t="s">
        <v>104</v>
      </c>
      <c r="H9" s="57"/>
      <c r="I9" s="146">
        <f>'Input-Results'!W10</f>
        <v>2.8871999999999995</v>
      </c>
      <c r="J9" s="64" t="s">
        <v>2</v>
      </c>
      <c r="L9" s="141" t="s">
        <v>90</v>
      </c>
      <c r="M9" s="146">
        <f>I7</f>
        <v>0</v>
      </c>
      <c r="N9" s="145" t="s">
        <v>2</v>
      </c>
      <c r="O9" s="142" t="s">
        <v>31</v>
      </c>
      <c r="P9" s="147">
        <f t="shared" ref="P9:Q14" si="0">P8</f>
        <v>147.394793844221</v>
      </c>
      <c r="Q9" s="262">
        <f t="shared" si="0"/>
        <v>3</v>
      </c>
      <c r="S9" s="63"/>
      <c r="T9" s="185"/>
      <c r="U9" s="131"/>
      <c r="V9" s="128"/>
      <c r="W9" s="53"/>
      <c r="X9" s="261"/>
    </row>
    <row r="10" spans="3:24" x14ac:dyDescent="0.2">
      <c r="C10" s="63" t="s">
        <v>45</v>
      </c>
      <c r="D10" s="53"/>
      <c r="E10" s="152">
        <f>E6+E7+E8</f>
        <v>500</v>
      </c>
      <c r="F10" s="122" t="s">
        <v>2</v>
      </c>
      <c r="G10" s="141" t="s">
        <v>45</v>
      </c>
      <c r="H10" s="57"/>
      <c r="I10" s="146">
        <f>I6+I7+I8+I9</f>
        <v>3.9681167999999998</v>
      </c>
      <c r="J10" s="64" t="s">
        <v>2</v>
      </c>
      <c r="L10" s="141"/>
      <c r="M10" s="337">
        <f>M9/1000/60</f>
        <v>0</v>
      </c>
      <c r="N10" s="145" t="s">
        <v>3</v>
      </c>
      <c r="O10" s="142" t="s">
        <v>31</v>
      </c>
      <c r="P10" s="147">
        <f t="shared" si="0"/>
        <v>147.394793844221</v>
      </c>
      <c r="Q10" s="262">
        <f t="shared" si="0"/>
        <v>3</v>
      </c>
      <c r="S10" s="63"/>
      <c r="T10" s="339"/>
      <c r="U10" s="131"/>
      <c r="V10" s="128"/>
      <c r="W10" s="53"/>
      <c r="X10" s="261"/>
    </row>
    <row r="11" spans="3:24" x14ac:dyDescent="0.2">
      <c r="C11" s="63" t="s">
        <v>45</v>
      </c>
      <c r="D11" s="53"/>
      <c r="E11" s="338">
        <f>E10/1000/60</f>
        <v>8.3333333333333332E-3</v>
      </c>
      <c r="F11" s="122" t="s">
        <v>3</v>
      </c>
      <c r="G11" s="141" t="s">
        <v>46</v>
      </c>
      <c r="H11" s="57"/>
      <c r="I11" s="337">
        <f>I10/1000/60</f>
        <v>6.6135279999999995E-5</v>
      </c>
      <c r="J11" s="64" t="s">
        <v>3</v>
      </c>
      <c r="L11" s="141" t="s">
        <v>103</v>
      </c>
      <c r="M11" s="146">
        <f>I8</f>
        <v>0</v>
      </c>
      <c r="N11" s="145" t="s">
        <v>2</v>
      </c>
      <c r="O11" s="142" t="s">
        <v>31</v>
      </c>
      <c r="P11" s="147">
        <f t="shared" si="0"/>
        <v>147.394793844221</v>
      </c>
      <c r="Q11" s="262">
        <f t="shared" si="0"/>
        <v>3</v>
      </c>
      <c r="S11" s="63"/>
      <c r="T11" s="152"/>
      <c r="U11" s="131"/>
      <c r="V11" s="128"/>
      <c r="W11" s="53"/>
      <c r="X11" s="261"/>
    </row>
    <row r="12" spans="3:24" ht="17" x14ac:dyDescent="0.25">
      <c r="C12" s="63" t="s">
        <v>4</v>
      </c>
      <c r="D12" s="53" t="s">
        <v>11</v>
      </c>
      <c r="E12" s="56">
        <v>4185</v>
      </c>
      <c r="F12" s="122" t="s">
        <v>0</v>
      </c>
      <c r="G12" s="141" t="s">
        <v>4</v>
      </c>
      <c r="H12" s="57" t="s">
        <v>12</v>
      </c>
      <c r="I12" s="59">
        <f>'Interpolation 3'!KD9</f>
        <v>2410.6275995029237</v>
      </c>
      <c r="J12" s="64" t="s">
        <v>0</v>
      </c>
      <c r="L12" s="141"/>
      <c r="M12" s="337">
        <f>M11/1000/60</f>
        <v>0</v>
      </c>
      <c r="N12" s="145" t="s">
        <v>3</v>
      </c>
      <c r="O12" s="142" t="s">
        <v>31</v>
      </c>
      <c r="P12" s="147">
        <f t="shared" si="0"/>
        <v>147.394793844221</v>
      </c>
      <c r="Q12" s="262">
        <f t="shared" si="0"/>
        <v>3</v>
      </c>
      <c r="S12" s="63"/>
      <c r="T12" s="338"/>
      <c r="U12" s="131"/>
      <c r="V12" s="128"/>
      <c r="W12" s="53"/>
      <c r="X12" s="261"/>
    </row>
    <row r="13" spans="3:24" ht="17" x14ac:dyDescent="0.25">
      <c r="C13" s="63" t="s">
        <v>5</v>
      </c>
      <c r="D13" s="53" t="s">
        <v>6</v>
      </c>
      <c r="E13" s="55">
        <f>E11*E12</f>
        <v>34.875</v>
      </c>
      <c r="F13" s="122" t="s">
        <v>19</v>
      </c>
      <c r="G13" s="141" t="s">
        <v>5</v>
      </c>
      <c r="H13" s="57" t="s">
        <v>13</v>
      </c>
      <c r="I13" s="58">
        <f>I11*I12</f>
        <v>0.1594275312688537</v>
      </c>
      <c r="J13" s="64" t="s">
        <v>8</v>
      </c>
      <c r="L13" s="141" t="s">
        <v>104</v>
      </c>
      <c r="M13" s="146">
        <f>I9</f>
        <v>2.8871999999999995</v>
      </c>
      <c r="N13" s="145" t="s">
        <v>2</v>
      </c>
      <c r="O13" s="142" t="s">
        <v>31</v>
      </c>
      <c r="P13" s="147">
        <f t="shared" si="0"/>
        <v>147.394793844221</v>
      </c>
      <c r="Q13" s="262">
        <f t="shared" si="0"/>
        <v>3</v>
      </c>
      <c r="S13" s="63"/>
      <c r="T13" s="53"/>
      <c r="U13" s="131"/>
      <c r="V13" s="128"/>
      <c r="W13" s="53"/>
      <c r="X13" s="261"/>
    </row>
    <row r="14" spans="3:24" ht="18" thickBot="1" x14ac:dyDescent="0.3">
      <c r="C14" s="86" t="s">
        <v>437</v>
      </c>
      <c r="D14" s="87" t="s">
        <v>16</v>
      </c>
      <c r="E14" s="165">
        <f>Condensers!D17</f>
        <v>15</v>
      </c>
      <c r="F14" s="124" t="s">
        <v>7</v>
      </c>
      <c r="G14" s="148" t="s">
        <v>438</v>
      </c>
      <c r="H14" s="149" t="s">
        <v>17</v>
      </c>
      <c r="I14" s="388">
        <f>'HE5'!I20</f>
        <v>147.394793844221</v>
      </c>
      <c r="J14" s="151" t="s">
        <v>7</v>
      </c>
      <c r="L14" s="141"/>
      <c r="M14" s="337">
        <f>M13/1000/60</f>
        <v>4.8119999999999993E-5</v>
      </c>
      <c r="N14" s="145" t="s">
        <v>3</v>
      </c>
      <c r="O14" s="142" t="s">
        <v>31</v>
      </c>
      <c r="P14" s="147">
        <f t="shared" si="0"/>
        <v>147.394793844221</v>
      </c>
      <c r="Q14" s="262">
        <f t="shared" si="0"/>
        <v>3</v>
      </c>
      <c r="S14" s="63"/>
      <c r="T14" s="53"/>
      <c r="U14" s="131"/>
      <c r="V14" s="128"/>
      <c r="W14" s="53"/>
      <c r="X14" s="261"/>
    </row>
    <row r="15" spans="3:24" x14ac:dyDescent="0.2">
      <c r="C15" s="83" t="s">
        <v>169</v>
      </c>
      <c r="D15" s="84" t="s">
        <v>15</v>
      </c>
      <c r="E15" s="260">
        <f>Condensers!D31</f>
        <v>0.8</v>
      </c>
      <c r="F15" s="260"/>
      <c r="G15" s="450"/>
      <c r="H15" s="450"/>
      <c r="I15" s="450"/>
      <c r="J15" s="451"/>
      <c r="L15" s="141"/>
      <c r="M15" s="57"/>
      <c r="N15" s="142"/>
      <c r="O15" s="142"/>
      <c r="P15" s="57"/>
      <c r="Q15" s="262"/>
      <c r="S15" s="63"/>
      <c r="T15" s="53"/>
      <c r="U15" s="53"/>
      <c r="V15" s="53"/>
      <c r="W15" s="53"/>
      <c r="X15" s="122"/>
    </row>
    <row r="16" spans="3:24" x14ac:dyDescent="0.2">
      <c r="C16" s="83" t="s">
        <v>188</v>
      </c>
      <c r="D16" s="85" t="s">
        <v>53</v>
      </c>
      <c r="E16" s="260">
        <f>Condensers!D24</f>
        <v>1</v>
      </c>
      <c r="F16" s="61" t="s">
        <v>63</v>
      </c>
      <c r="G16" s="62"/>
      <c r="H16" s="62"/>
      <c r="I16" s="62"/>
      <c r="J16" s="66"/>
      <c r="L16" s="141" t="s">
        <v>164</v>
      </c>
      <c r="M16" s="146">
        <f>(1/461.52)*(100000*Q16/(P16+273))</f>
        <v>1.5462275236474774</v>
      </c>
      <c r="N16" s="145" t="s">
        <v>23</v>
      </c>
      <c r="O16" s="142" t="s">
        <v>31</v>
      </c>
      <c r="P16" s="147">
        <f>P7</f>
        <v>147.394793844221</v>
      </c>
      <c r="Q16" s="262">
        <f>Q10</f>
        <v>3</v>
      </c>
      <c r="S16" s="63" t="s">
        <v>164</v>
      </c>
      <c r="T16" s="152">
        <v>1000</v>
      </c>
      <c r="U16" s="131" t="s">
        <v>23</v>
      </c>
      <c r="V16" s="128" t="s">
        <v>31</v>
      </c>
      <c r="W16" s="102">
        <f>W7</f>
        <v>15.484183515651509</v>
      </c>
      <c r="X16" s="261">
        <f>X7</f>
        <v>2.5</v>
      </c>
    </row>
    <row r="17" spans="3:24" x14ac:dyDescent="0.2">
      <c r="C17" s="83" t="s">
        <v>56</v>
      </c>
      <c r="D17" s="85" t="s">
        <v>57</v>
      </c>
      <c r="E17" s="103">
        <f>MIN(E13,I13)/MAX(E13:I13)</f>
        <v>4.5713987460603211E-3</v>
      </c>
      <c r="F17" s="61"/>
      <c r="G17" s="62"/>
      <c r="H17" s="62"/>
      <c r="I17" s="62"/>
      <c r="J17" s="66"/>
      <c r="L17" s="141" t="s">
        <v>91</v>
      </c>
      <c r="M17" s="146">
        <f>(1/4124.2)*(100000*Q17/(P17+273))</f>
        <v>0.17303111554090098</v>
      </c>
      <c r="N17" s="145" t="s">
        <v>23</v>
      </c>
      <c r="O17" s="142" t="s">
        <v>31</v>
      </c>
      <c r="P17" s="147">
        <f>P8</f>
        <v>147.394793844221</v>
      </c>
      <c r="Q17" s="262">
        <f>Q16</f>
        <v>3</v>
      </c>
      <c r="S17" s="63"/>
      <c r="T17" s="152"/>
      <c r="U17" s="131"/>
      <c r="V17" s="128"/>
      <c r="W17" s="53"/>
      <c r="X17" s="261"/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141" t="s">
        <v>161</v>
      </c>
      <c r="M18" s="146">
        <f>(1/188.92)*(100000*Q18/(P18+273))</f>
        <v>3.7773392267297474</v>
      </c>
      <c r="N18" s="145" t="s">
        <v>23</v>
      </c>
      <c r="O18" s="142" t="s">
        <v>31</v>
      </c>
      <c r="P18" s="147">
        <f>P9</f>
        <v>147.394793844221</v>
      </c>
      <c r="Q18" s="262">
        <f>Q12</f>
        <v>3</v>
      </c>
      <c r="S18" s="63"/>
      <c r="T18" s="152"/>
      <c r="U18" s="131"/>
      <c r="V18" s="128"/>
      <c r="W18" s="102"/>
      <c r="X18" s="261"/>
    </row>
    <row r="19" spans="3:24" ht="17" x14ac:dyDescent="0.25">
      <c r="C19" s="65" t="s">
        <v>14</v>
      </c>
      <c r="D19" s="60" t="s">
        <v>18</v>
      </c>
      <c r="E19" s="105">
        <f>E18*MIN(E13,I13)*(I14-E14)</f>
        <v>16.885900108346387</v>
      </c>
      <c r="F19" s="61" t="s">
        <v>1</v>
      </c>
      <c r="G19" s="62" t="s">
        <v>22</v>
      </c>
      <c r="H19" s="62"/>
      <c r="I19" s="62"/>
      <c r="J19" s="66"/>
      <c r="L19" s="141" t="s">
        <v>162</v>
      </c>
      <c r="M19" s="146">
        <f>(1/518.28)*(100000*Q19/(P19+273))</f>
        <v>1.3768907283973602</v>
      </c>
      <c r="N19" s="145" t="s">
        <v>23</v>
      </c>
      <c r="O19" s="142" t="s">
        <v>31</v>
      </c>
      <c r="P19" s="147">
        <f>P10</f>
        <v>147.394793844221</v>
      </c>
      <c r="Q19" s="262">
        <f>Q18</f>
        <v>3</v>
      </c>
      <c r="S19" s="63"/>
      <c r="T19" s="53"/>
      <c r="U19" s="53"/>
      <c r="V19" s="53"/>
      <c r="W19" s="53"/>
      <c r="X19" s="122"/>
    </row>
    <row r="20" spans="3:24" ht="17" x14ac:dyDescent="0.25">
      <c r="C20" s="287" t="s">
        <v>64</v>
      </c>
      <c r="D20" s="106" t="s">
        <v>20</v>
      </c>
      <c r="E20" s="444">
        <f>E14+E19/E13</f>
        <v>15.484183515651509</v>
      </c>
      <c r="F20" s="289" t="s">
        <v>7</v>
      </c>
      <c r="G20" s="446" t="s">
        <v>436</v>
      </c>
      <c r="H20" s="446" t="s">
        <v>21</v>
      </c>
      <c r="I20" s="447">
        <f>I14-E19/I13</f>
        <v>41.478958768844194</v>
      </c>
      <c r="J20" s="448" t="s">
        <v>7</v>
      </c>
      <c r="L20" s="141" t="s">
        <v>629</v>
      </c>
      <c r="M20" s="146">
        <f>1/(((I6/I10)/M16)+((I7/I10)/M17)+((I8/I10)/M18)+((I9/I10)/M19))</f>
        <v>1.419229513357716</v>
      </c>
      <c r="N20" s="145" t="s">
        <v>23</v>
      </c>
      <c r="O20" s="142" t="s">
        <v>31</v>
      </c>
      <c r="P20" s="147">
        <f>P11</f>
        <v>147.394793844221</v>
      </c>
      <c r="Q20" s="262">
        <f>Q14</f>
        <v>3</v>
      </c>
      <c r="S20" s="63"/>
      <c r="T20" s="53"/>
      <c r="U20" s="53"/>
      <c r="V20" s="53"/>
      <c r="W20" s="53"/>
      <c r="X20" s="122"/>
    </row>
    <row r="21" spans="3:24" x14ac:dyDescent="0.2">
      <c r="C21" s="287" t="s">
        <v>278</v>
      </c>
      <c r="D21" s="106"/>
      <c r="E21" s="732">
        <v>91.666666666666671</v>
      </c>
      <c r="F21" s="53" t="s">
        <v>77</v>
      </c>
      <c r="G21" s="107" t="s">
        <v>279</v>
      </c>
      <c r="H21" s="107"/>
      <c r="I21" s="201">
        <f>IF(E16=0,0,100*(H30-I20)/(I14-I20))</f>
        <v>47.342878131711728</v>
      </c>
      <c r="J21" s="108" t="s">
        <v>77</v>
      </c>
      <c r="L21" s="141"/>
      <c r="M21" s="146"/>
      <c r="N21" s="145"/>
      <c r="O21" s="142"/>
      <c r="P21" s="147"/>
      <c r="Q21" s="262"/>
      <c r="S21" s="63"/>
      <c r="T21" s="53"/>
      <c r="U21" s="53"/>
      <c r="V21" s="53"/>
      <c r="W21" s="53"/>
      <c r="X21" s="122"/>
    </row>
    <row r="22" spans="3:24" ht="16" thickBot="1" x14ac:dyDescent="0.25">
      <c r="C22" s="86" t="s">
        <v>271</v>
      </c>
      <c r="D22" s="87"/>
      <c r="E22" s="165">
        <f>IF((P40&gt;0)*AND(E16&gt;0),E20+(E21/100)*(P40/(E12*(E6/1000/60))),E20)</f>
        <v>16.423848987575045</v>
      </c>
      <c r="F22" s="87" t="s">
        <v>7</v>
      </c>
      <c r="G22" s="149"/>
      <c r="H22" s="149"/>
      <c r="I22" s="445"/>
      <c r="J22" s="151"/>
      <c r="L22" s="141" t="s">
        <v>184</v>
      </c>
      <c r="M22" s="146">
        <f>(3600*M8/M16)+(3600*M10/M17)+(3600*M12/M18)+(3600*M14/M19)</f>
        <v>0.16775793186312513</v>
      </c>
      <c r="N22" s="145" t="s">
        <v>25</v>
      </c>
      <c r="O22" s="142" t="s">
        <v>31</v>
      </c>
      <c r="P22" s="147">
        <f>P7</f>
        <v>147.394793844221</v>
      </c>
      <c r="Q22" s="262">
        <f>Q7</f>
        <v>3</v>
      </c>
      <c r="S22" s="63" t="s">
        <v>24</v>
      </c>
      <c r="T22" s="184">
        <f>(3600*T8/T16)</f>
        <v>0.03</v>
      </c>
      <c r="U22" s="131" t="s">
        <v>25</v>
      </c>
      <c r="V22" s="128" t="s">
        <v>31</v>
      </c>
      <c r="W22" s="102">
        <f>W7</f>
        <v>15.484183515651509</v>
      </c>
      <c r="X22" s="261">
        <f>X7</f>
        <v>2.5</v>
      </c>
    </row>
    <row r="23" spans="3:24" ht="16" thickBot="1" x14ac:dyDescent="0.25">
      <c r="C23" s="5"/>
      <c r="D23" s="5"/>
      <c r="E23" s="5"/>
      <c r="F23" s="168"/>
      <c r="G23" s="5"/>
      <c r="H23" s="5"/>
      <c r="I23" s="5"/>
      <c r="J23" s="5"/>
      <c r="L23" s="141"/>
      <c r="M23" s="59">
        <f>M22*1000/60</f>
        <v>2.7959655310520852</v>
      </c>
      <c r="N23" s="145" t="s">
        <v>49</v>
      </c>
      <c r="O23" s="142" t="s">
        <v>31</v>
      </c>
      <c r="P23" s="147">
        <f>P22</f>
        <v>147.394793844221</v>
      </c>
      <c r="Q23" s="262">
        <f>Q22</f>
        <v>3</v>
      </c>
      <c r="S23" s="63"/>
      <c r="T23" s="152">
        <f>T22*1000/60</f>
        <v>0.5</v>
      </c>
      <c r="U23" s="131" t="s">
        <v>49</v>
      </c>
      <c r="V23" s="128" t="str">
        <f>V8</f>
        <v>@</v>
      </c>
      <c r="W23" s="102">
        <f>W8</f>
        <v>15.484183515651509</v>
      </c>
      <c r="X23" s="261">
        <f>X22</f>
        <v>2.5</v>
      </c>
    </row>
    <row r="24" spans="3:24" x14ac:dyDescent="0.2">
      <c r="C24" s="365" t="s">
        <v>181</v>
      </c>
      <c r="D24" s="366" t="s">
        <v>182</v>
      </c>
      <c r="E24" s="367"/>
      <c r="F24" s="367"/>
      <c r="G24" s="366"/>
      <c r="H24" s="366"/>
      <c r="I24" s="366"/>
      <c r="J24" s="368"/>
      <c r="L24" s="141"/>
      <c r="M24" s="57"/>
      <c r="N24" s="142"/>
      <c r="O24" s="142"/>
      <c r="P24" s="57"/>
      <c r="Q24" s="349"/>
      <c r="S24" s="63"/>
      <c r="T24" s="53"/>
      <c r="U24" s="53"/>
      <c r="V24" s="53"/>
      <c r="W24" s="53"/>
      <c r="X24" s="122"/>
    </row>
    <row r="25" spans="3:24" x14ac:dyDescent="0.2">
      <c r="C25" s="213" t="s">
        <v>179</v>
      </c>
      <c r="D25" s="360">
        <f>I14</f>
        <v>147.394793844221</v>
      </c>
      <c r="E25" s="371" t="s">
        <v>7</v>
      </c>
      <c r="F25" s="361"/>
      <c r="G25" s="93" t="s">
        <v>180</v>
      </c>
      <c r="H25" s="309">
        <f>I20</f>
        <v>41.478958768844194</v>
      </c>
      <c r="I25" s="374" t="s">
        <v>7</v>
      </c>
      <c r="J25" s="369"/>
      <c r="L25" s="141" t="s">
        <v>191</v>
      </c>
      <c r="M25" s="146">
        <f>M22*(I20+273)/(I14+273)</f>
        <v>0.1254923717182839</v>
      </c>
      <c r="N25" s="145" t="s">
        <v>25</v>
      </c>
      <c r="O25" s="142" t="s">
        <v>31</v>
      </c>
      <c r="P25" s="147">
        <f>I20</f>
        <v>41.478958768844194</v>
      </c>
      <c r="Q25" s="262">
        <f>Q8</f>
        <v>3</v>
      </c>
      <c r="S25" s="63"/>
      <c r="T25" s="53"/>
      <c r="U25" s="53"/>
      <c r="V25" s="53"/>
      <c r="W25" s="53"/>
      <c r="X25" s="122"/>
    </row>
    <row r="26" spans="3:24" x14ac:dyDescent="0.2">
      <c r="C26" s="96" t="s">
        <v>178</v>
      </c>
      <c r="D26" s="94">
        <f>0.01*0.61078*EXP((17.27*D25)/(D25+237.3))</f>
        <v>4.5665876182866496</v>
      </c>
      <c r="E26" s="372" t="s">
        <v>177</v>
      </c>
      <c r="F26" s="359"/>
      <c r="G26" s="93" t="s">
        <v>178</v>
      </c>
      <c r="H26" s="98">
        <f>0.01*0.61078*EXP((17.27*H25)/(H25+237.3))</f>
        <v>7.9769011049933156E-2</v>
      </c>
      <c r="I26" s="374" t="s">
        <v>177</v>
      </c>
      <c r="J26" s="369"/>
      <c r="K26" s="5"/>
      <c r="L26" s="141"/>
      <c r="M26" s="59">
        <f>M25*1000/60</f>
        <v>2.0915395286380649</v>
      </c>
      <c r="N26" s="145" t="s">
        <v>49</v>
      </c>
      <c r="O26" s="142" t="s">
        <v>31</v>
      </c>
      <c r="P26" s="147">
        <f>P25</f>
        <v>41.478958768844194</v>
      </c>
      <c r="Q26" s="262">
        <f>Q25</f>
        <v>3</v>
      </c>
      <c r="S26" s="63"/>
      <c r="T26" s="152"/>
      <c r="U26" s="131"/>
      <c r="V26" s="128"/>
      <c r="W26" s="102"/>
      <c r="X26" s="261"/>
    </row>
    <row r="27" spans="3:24" x14ac:dyDescent="0.2">
      <c r="C27" s="336" t="s">
        <v>183</v>
      </c>
      <c r="D27" s="362">
        <f>(((I6/Condensers!D7)/60)*8.3144598*(D25+273)/('CON4'!M22/3600))/100000</f>
        <v>0.75008555893716022</v>
      </c>
      <c r="E27" s="373" t="s">
        <v>177</v>
      </c>
      <c r="F27" s="363"/>
      <c r="G27" s="93" t="s">
        <v>183</v>
      </c>
      <c r="H27" s="94">
        <f>(((I6/Condensers!D7)/60)*8.3144598*(H25+273)/('CON4'!M25/3600))/100000</f>
        <v>0.75008555893716033</v>
      </c>
      <c r="I27" s="374" t="s">
        <v>177</v>
      </c>
      <c r="J27" s="369"/>
      <c r="K27" s="5"/>
      <c r="L27" s="141"/>
      <c r="M27" s="57"/>
      <c r="N27" s="142"/>
      <c r="O27" s="142"/>
      <c r="P27" s="57"/>
      <c r="Q27" s="349"/>
      <c r="S27" s="63"/>
      <c r="T27" s="53"/>
      <c r="U27" s="53"/>
      <c r="V27" s="53"/>
      <c r="W27" s="53"/>
      <c r="X27" s="122"/>
    </row>
    <row r="28" spans="3:24" ht="19" x14ac:dyDescent="0.25">
      <c r="C28" s="839" t="s">
        <v>185</v>
      </c>
      <c r="D28" s="840"/>
      <c r="E28" s="840"/>
      <c r="F28" s="841"/>
      <c r="G28" s="842" t="s">
        <v>186</v>
      </c>
      <c r="H28" s="840"/>
      <c r="I28" s="840"/>
      <c r="J28" s="843"/>
      <c r="K28" s="5"/>
      <c r="L28" s="769" t="s">
        <v>634</v>
      </c>
      <c r="M28" s="146">
        <f>((3600*M10/M17)+(3600*M12/M18)+(3600*M14/M19))*(I20+273)/(I14+273)+((100-E21)/100)*(3600*M8/M16)*(I20+273)/(I14+273)</f>
        <v>9.6730587715839603E-2</v>
      </c>
      <c r="N28" s="145" t="s">
        <v>25</v>
      </c>
      <c r="O28" s="142" t="s">
        <v>31</v>
      </c>
      <c r="P28" s="147">
        <f>I20</f>
        <v>41.478958768844194</v>
      </c>
      <c r="Q28" s="262">
        <f>Q9</f>
        <v>3</v>
      </c>
      <c r="S28" s="63"/>
      <c r="T28" s="53"/>
      <c r="U28" s="53"/>
      <c r="V28" s="53"/>
      <c r="W28" s="53"/>
      <c r="X28" s="122"/>
    </row>
    <row r="29" spans="3:24" ht="20" thickBot="1" x14ac:dyDescent="0.3">
      <c r="C29" s="844" t="str">
        <f>IF(D26&lt;D27,"CONDENSATION","NO CONDENSATION")</f>
        <v>NO CONDENSATION</v>
      </c>
      <c r="D29" s="845"/>
      <c r="E29" s="845"/>
      <c r="F29" s="846"/>
      <c r="G29" s="847" t="str">
        <f>IF(H26&lt;H27,"CONDENSATION","NO CONDENSATION")</f>
        <v>CONDENSATION</v>
      </c>
      <c r="H29" s="845"/>
      <c r="I29" s="845"/>
      <c r="J29" s="848"/>
      <c r="K29" s="5"/>
      <c r="L29" s="770"/>
      <c r="M29" s="337">
        <f>(M28*((P29+273)/(P28+273))*(Q28/Q29))/3600</f>
        <v>6.9078705294989124E-5</v>
      </c>
      <c r="N29" s="145" t="s">
        <v>337</v>
      </c>
      <c r="O29" s="142" t="s">
        <v>31</v>
      </c>
      <c r="P29" s="57">
        <v>0</v>
      </c>
      <c r="Q29" s="64">
        <v>1.0129999999999999</v>
      </c>
      <c r="S29" s="63"/>
      <c r="T29" s="53"/>
      <c r="U29" s="53"/>
      <c r="V29" s="53"/>
      <c r="W29" s="53"/>
      <c r="X29" s="122"/>
    </row>
    <row r="30" spans="3:24" ht="21.5" customHeight="1" thickBot="1" x14ac:dyDescent="0.25">
      <c r="G30" s="728" t="s">
        <v>231</v>
      </c>
      <c r="H30" s="729">
        <f>(237.3*LN(((H27*100)/0.61078)))/(17.27-(LN(((H27*100)/0.61078))))</f>
        <v>91.62256349076462</v>
      </c>
      <c r="I30" s="730" t="s">
        <v>7</v>
      </c>
      <c r="J30" s="731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6" thickBot="1" x14ac:dyDescent="0.25">
      <c r="K31" s="5"/>
      <c r="L31" s="141"/>
      <c r="M31" s="147">
        <f>M22*1000/60</f>
        <v>2.7959655310520852</v>
      </c>
      <c r="N31" s="145" t="s">
        <v>49</v>
      </c>
      <c r="O31" s="142" t="s">
        <v>31</v>
      </c>
      <c r="P31" s="147">
        <f>P7</f>
        <v>147.394793844221</v>
      </c>
      <c r="Q31" s="262">
        <f>Q7</f>
        <v>3</v>
      </c>
      <c r="S31" s="63"/>
      <c r="T31" s="152"/>
      <c r="U31" s="131"/>
      <c r="V31" s="128"/>
      <c r="W31" s="53"/>
      <c r="X31" s="122"/>
    </row>
    <row r="32" spans="3:24" ht="20" thickBot="1" x14ac:dyDescent="0.3">
      <c r="D32" s="119">
        <f>E16</f>
        <v>1</v>
      </c>
      <c r="E32" s="118" t="s">
        <v>165</v>
      </c>
      <c r="F32" s="116"/>
      <c r="J32" s="5"/>
      <c r="K32" s="5"/>
      <c r="L32" s="141"/>
      <c r="M32" s="147">
        <f>M31*((P32+273)/($P$31+273))*($Q$31/Q32)</f>
        <v>5.3771102403487445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/>
      <c r="T32" s="102"/>
      <c r="U32" s="131"/>
      <c r="V32" s="128"/>
      <c r="W32" s="53"/>
      <c r="X32" s="122"/>
    </row>
    <row r="33" spans="2:25" ht="16" thickBot="1" x14ac:dyDescent="0.25">
      <c r="C33" s="2"/>
      <c r="D33" s="120"/>
      <c r="E33" s="2"/>
      <c r="F33" s="121"/>
      <c r="J33" s="5"/>
      <c r="K33" s="5"/>
      <c r="L33" s="141"/>
      <c r="M33" s="147">
        <f>M31*((P33+273)/($P$31+273))*($Q$31/Q33)</f>
        <v>5.771037730484184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/>
      <c r="U33" s="131"/>
      <c r="V33" s="128"/>
      <c r="W33" s="53"/>
      <c r="X33" s="122"/>
    </row>
    <row r="34" spans="2:25" ht="19" x14ac:dyDescent="0.25">
      <c r="B34" s="70">
        <f>IF(E16=0,I20,H30)</f>
        <v>91.62256349076462</v>
      </c>
      <c r="C34" s="90" t="s">
        <v>7</v>
      </c>
      <c r="D34" s="110"/>
      <c r="E34" s="2"/>
      <c r="F34" s="114"/>
      <c r="G34" s="199">
        <f>I14</f>
        <v>147.394793844221</v>
      </c>
      <c r="H34" s="68" t="s">
        <v>7</v>
      </c>
      <c r="I34" s="68"/>
      <c r="K34" s="174"/>
      <c r="L34" s="141"/>
      <c r="M34" s="147">
        <f>M31*2.119*((273+P34)/(273+P31))*(Q31/Q34)</f>
        <v>12.228828950895988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/>
      <c r="U34" s="131"/>
      <c r="V34" s="128"/>
      <c r="W34" s="53"/>
      <c r="X34" s="122"/>
    </row>
    <row r="35" spans="2:25" ht="20" thickBot="1" x14ac:dyDescent="0.3">
      <c r="B35" s="264">
        <f>I10</f>
        <v>3.9681167999999998</v>
      </c>
      <c r="C35" s="68" t="s">
        <v>399</v>
      </c>
      <c r="D35" s="111"/>
      <c r="E35" s="2"/>
      <c r="F35" s="112"/>
      <c r="G35" s="200">
        <f>I10</f>
        <v>3.9681167999999998</v>
      </c>
      <c r="H35" s="68" t="s">
        <v>399</v>
      </c>
      <c r="I35" s="68"/>
      <c r="J35" s="5"/>
      <c r="K35" s="179"/>
      <c r="L35" s="148"/>
      <c r="M35" s="195">
        <f>M34/60</f>
        <v>0.20381381584826647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/>
      <c r="U35" s="198"/>
      <c r="V35" s="132"/>
      <c r="W35" s="87"/>
      <c r="X35" s="124"/>
    </row>
    <row r="36" spans="2:25" ht="20" thickBot="1" x14ac:dyDescent="0.3">
      <c r="B36" s="69"/>
      <c r="C36" s="69"/>
      <c r="D36" s="112"/>
      <c r="E36" s="2"/>
      <c r="F36" s="112"/>
      <c r="G36" s="69"/>
      <c r="H36" s="69"/>
      <c r="I36" s="69"/>
      <c r="J36" s="5"/>
      <c r="K36" s="5"/>
      <c r="X36" s="5"/>
    </row>
    <row r="37" spans="2:25" ht="19" x14ac:dyDescent="0.25">
      <c r="B37" s="180">
        <f>E14</f>
        <v>15</v>
      </c>
      <c r="C37" s="89" t="s">
        <v>7</v>
      </c>
      <c r="D37" s="112"/>
      <c r="E37" s="2"/>
      <c r="F37" s="112"/>
      <c r="G37" s="346">
        <f>E22</f>
        <v>16.423848987575045</v>
      </c>
      <c r="H37" s="67" t="s">
        <v>7</v>
      </c>
      <c r="I37" s="69"/>
      <c r="J37" s="5"/>
      <c r="K37" s="5"/>
      <c r="L37" s="792" t="s">
        <v>195</v>
      </c>
      <c r="M37" s="793"/>
      <c r="N37" s="794"/>
      <c r="O37" s="795"/>
      <c r="P37" s="802">
        <f>IF(E16&gt;0,((100-E21)/100)*I6/'Input-Results'!D7,I6/'Input-Results'!D7)</f>
        <v>4.9999999999999966E-3</v>
      </c>
      <c r="Q37" s="380" t="s">
        <v>194</v>
      </c>
      <c r="R37" s="5"/>
      <c r="S37" s="5"/>
    </row>
    <row r="38" spans="2:25" ht="20" thickBot="1" x14ac:dyDescent="0.3">
      <c r="B38" s="180">
        <f>E10</f>
        <v>500</v>
      </c>
      <c r="C38" s="67" t="s">
        <v>166</v>
      </c>
      <c r="D38" s="113"/>
      <c r="E38" s="2"/>
      <c r="F38" s="115"/>
      <c r="G38" s="180">
        <f>B38</f>
        <v>500</v>
      </c>
      <c r="H38" s="67" t="s">
        <v>166</v>
      </c>
      <c r="I38" s="69"/>
      <c r="J38" s="5"/>
      <c r="K38" s="5"/>
      <c r="L38" s="762"/>
      <c r="M38" s="749"/>
      <c r="N38" s="797"/>
      <c r="O38" s="798"/>
      <c r="P38" s="801">
        <f>P37*'Input-Results'!D7</f>
        <v>9.0076399999999945E-2</v>
      </c>
      <c r="Q38" s="385" t="s">
        <v>2</v>
      </c>
      <c r="S38" s="5"/>
      <c r="T38" s="766"/>
      <c r="U38" s="5"/>
      <c r="V38" s="5"/>
      <c r="W38" s="5"/>
      <c r="Y38" s="5"/>
    </row>
    <row r="39" spans="2:25" ht="16" thickBot="1" x14ac:dyDescent="0.25">
      <c r="D39" s="120"/>
      <c r="E39" s="2"/>
      <c r="F39" s="121"/>
      <c r="J39" s="5"/>
      <c r="K39" s="5"/>
      <c r="L39" s="406" t="s">
        <v>204</v>
      </c>
      <c r="M39" s="281"/>
      <c r="N39" s="407"/>
      <c r="O39" s="408"/>
      <c r="P39" s="799">
        <f>(I6-P38)/'Input-Results'!D7</f>
        <v>5.5E-2</v>
      </c>
      <c r="Q39" s="283" t="s">
        <v>194</v>
      </c>
      <c r="U39" s="5"/>
      <c r="V39" s="5"/>
      <c r="W39" s="5"/>
      <c r="X39" s="5"/>
      <c r="Y39" s="5"/>
    </row>
    <row r="40" spans="2:25" ht="20" thickBot="1" x14ac:dyDescent="0.3">
      <c r="D40" s="100" t="s">
        <v>61</v>
      </c>
      <c r="E40" s="117">
        <f>E19+P40</f>
        <v>52.635900108346391</v>
      </c>
      <c r="F40" s="101" t="s">
        <v>1</v>
      </c>
      <c r="J40" s="174"/>
      <c r="L40" s="381" t="s">
        <v>205</v>
      </c>
      <c r="M40" s="382"/>
      <c r="N40" s="383"/>
      <c r="O40" s="405"/>
      <c r="P40" s="409">
        <f>IF(E16&gt;0,P39*39000/60,0)</f>
        <v>35.75</v>
      </c>
      <c r="Q40" s="385" t="s">
        <v>1</v>
      </c>
      <c r="S40" s="5"/>
      <c r="T40" s="5"/>
      <c r="U40" s="5"/>
      <c r="V40" s="5"/>
      <c r="W40" s="5"/>
      <c r="X40" s="5"/>
      <c r="Y40" s="5"/>
    </row>
    <row r="41" spans="2:25" ht="19" x14ac:dyDescent="0.2">
      <c r="F41" s="3"/>
      <c r="J41" s="178"/>
      <c r="T41" s="5"/>
      <c r="U41" s="5"/>
      <c r="V41" s="5"/>
      <c r="W41" s="5"/>
      <c r="X41" s="5"/>
      <c r="Y41" s="5"/>
    </row>
    <row r="42" spans="2:25" ht="19" x14ac:dyDescent="0.25">
      <c r="F42" s="3"/>
      <c r="J42" s="178"/>
      <c r="X42" s="5"/>
      <c r="Y42" s="364"/>
    </row>
    <row r="43" spans="2:25" ht="19" x14ac:dyDescent="0.25">
      <c r="S43" s="5"/>
      <c r="T43" s="699"/>
      <c r="U43" s="699"/>
      <c r="V43" s="5"/>
      <c r="W43" s="5"/>
      <c r="Y43" s="5"/>
    </row>
  </sheetData>
  <mergeCells count="4">
    <mergeCell ref="C28:F28"/>
    <mergeCell ref="G28:J28"/>
    <mergeCell ref="C29:F29"/>
    <mergeCell ref="G29:J29"/>
  </mergeCells>
  <conditionalFormatting sqref="G29 C29">
    <cfRule type="cellIs" dxfId="1" priority="1" operator="equal">
      <formula>"NO CONDENSATION"</formula>
    </cfRule>
    <cfRule type="cellIs" dxfId="0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25"/>
  <dimension ref="B1:AR93"/>
  <sheetViews>
    <sheetView topLeftCell="A7" zoomScaleNormal="100" workbookViewId="0">
      <selection activeCell="B61" sqref="B61"/>
    </sheetView>
  </sheetViews>
  <sheetFormatPr baseColWidth="10" defaultColWidth="8.83203125" defaultRowHeight="15" x14ac:dyDescent="0.2"/>
  <cols>
    <col min="1" max="1" width="2.6640625" customWidth="1"/>
    <col min="2" max="2" width="27.83203125" bestFit="1" customWidth="1"/>
    <col min="3" max="3" width="6.83203125" bestFit="1" customWidth="1"/>
    <col min="4" max="4" width="8.5" bestFit="1" customWidth="1"/>
    <col min="5" max="5" width="8.1640625" bestFit="1" customWidth="1"/>
    <col min="6" max="6" width="1.83203125" customWidth="1"/>
    <col min="7" max="9" width="6.83203125" hidden="1" customWidth="1"/>
    <col min="10" max="10" width="1.83203125" customWidth="1"/>
    <col min="11" max="11" width="27.83203125" bestFit="1" customWidth="1"/>
    <col min="12" max="12" width="6.83203125" bestFit="1" customWidth="1"/>
    <col min="13" max="14" width="8.1640625" bestFit="1" customWidth="1"/>
    <col min="15" max="15" width="1.83203125" customWidth="1"/>
    <col min="16" max="18" width="6.83203125" hidden="1" customWidth="1"/>
    <col min="19" max="19" width="1.83203125" customWidth="1"/>
    <col min="20" max="20" width="27.83203125" bestFit="1" customWidth="1"/>
    <col min="21" max="21" width="6.83203125" bestFit="1" customWidth="1"/>
    <col min="22" max="23" width="8.1640625" bestFit="1" customWidth="1"/>
    <col min="24" max="24" width="1.83203125" customWidth="1"/>
    <col min="25" max="27" width="6.83203125" hidden="1" customWidth="1"/>
    <col min="28" max="28" width="1.83203125" customWidth="1"/>
    <col min="29" max="29" width="27.83203125" bestFit="1" customWidth="1"/>
    <col min="30" max="30" width="8.1640625" bestFit="1" customWidth="1"/>
    <col min="31" max="31" width="12.5" bestFit="1" customWidth="1"/>
    <col min="32" max="32" width="8.33203125" bestFit="1" customWidth="1"/>
  </cols>
  <sheetData>
    <row r="1" spans="2:40" ht="9.5" customHeight="1" x14ac:dyDescent="0.2"/>
    <row r="2" spans="2:40" ht="25" x14ac:dyDescent="0.35">
      <c r="B2" s="99" t="s">
        <v>533</v>
      </c>
    </row>
    <row r="3" spans="2:40" ht="16" thickBot="1" x14ac:dyDescent="0.25"/>
    <row r="4" spans="2:40" ht="17" customHeight="1" x14ac:dyDescent="0.2">
      <c r="B4" s="867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9"/>
      <c r="T4" s="618" t="s">
        <v>531</v>
      </c>
      <c r="U4" s="619" t="s">
        <v>380</v>
      </c>
      <c r="V4" s="620">
        <f>1000*SUM(D43,M43,V43)</f>
        <v>44.286495239423758</v>
      </c>
      <c r="W4" s="621" t="s">
        <v>1</v>
      </c>
    </row>
    <row r="5" spans="2:40" ht="17" customHeight="1" x14ac:dyDescent="0.2">
      <c r="B5" s="870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71"/>
      <c r="T5" s="622" t="s">
        <v>570</v>
      </c>
      <c r="U5" s="465" t="s">
        <v>157</v>
      </c>
      <c r="V5" s="468">
        <f>1000*SUM(D54,V54,M54)</f>
        <v>55.856093953016071</v>
      </c>
      <c r="W5" s="623" t="s">
        <v>1</v>
      </c>
    </row>
    <row r="6" spans="2:40" ht="17" customHeight="1" x14ac:dyDescent="0.2">
      <c r="B6" s="870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71"/>
      <c r="T6" s="624"/>
      <c r="U6" s="477" t="s">
        <v>212</v>
      </c>
      <c r="V6" s="477" t="s">
        <v>29</v>
      </c>
      <c r="W6" s="625" t="s">
        <v>530</v>
      </c>
    </row>
    <row r="7" spans="2:40" ht="17" customHeight="1" x14ac:dyDescent="0.2">
      <c r="B7" s="870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71"/>
      <c r="T7" s="626">
        <v>1</v>
      </c>
      <c r="U7" s="478">
        <f>D19</f>
        <v>2.5</v>
      </c>
      <c r="V7" s="479">
        <f>D25</f>
        <v>91.62256349076462</v>
      </c>
      <c r="W7" s="640">
        <f>D37*60000</f>
        <v>2.1544449679966213</v>
      </c>
    </row>
    <row r="8" spans="2:40" ht="17" customHeight="1" x14ac:dyDescent="0.2">
      <c r="B8" s="870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71"/>
      <c r="T8" s="626">
        <v>2</v>
      </c>
      <c r="U8" s="478">
        <f>D21</f>
        <v>8.1771907921246303</v>
      </c>
      <c r="V8" s="479">
        <f>D46</f>
        <v>222.76399083269655</v>
      </c>
      <c r="W8" s="640">
        <f>D30*60000</f>
        <v>0.89557656782147022</v>
      </c>
    </row>
    <row r="9" spans="2:40" ht="17" customHeight="1" x14ac:dyDescent="0.2">
      <c r="B9" s="870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71"/>
      <c r="T9" s="626">
        <v>3</v>
      </c>
      <c r="U9" s="478">
        <f>D57</f>
        <v>7.6771907921246303</v>
      </c>
      <c r="V9" s="479">
        <f>D58</f>
        <v>31</v>
      </c>
      <c r="W9" s="640">
        <f>D59*60000</f>
        <v>0.58492895960731561</v>
      </c>
    </row>
    <row r="10" spans="2:40" ht="17" customHeight="1" x14ac:dyDescent="0.2">
      <c r="B10" s="870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71"/>
      <c r="T10" s="626">
        <v>4</v>
      </c>
      <c r="U10" s="478">
        <f>M21</f>
        <v>25.111141541898213</v>
      </c>
      <c r="V10" s="479">
        <f>M29</f>
        <v>140.33770398155053</v>
      </c>
      <c r="W10" s="640">
        <f>M30*60000</f>
        <v>0.24314785378417916</v>
      </c>
    </row>
    <row r="11" spans="2:40" ht="17" customHeight="1" x14ac:dyDescent="0.2">
      <c r="B11" s="870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71"/>
      <c r="T11" s="626">
        <v>5</v>
      </c>
      <c r="U11" s="478">
        <f>M57</f>
        <v>24.611141541898213</v>
      </c>
      <c r="V11" s="479">
        <f>M58</f>
        <v>47</v>
      </c>
      <c r="W11" s="640">
        <f>M59*60000</f>
        <v>0.19206582408170367</v>
      </c>
    </row>
    <row r="12" spans="2:40" ht="17" customHeight="1" x14ac:dyDescent="0.2">
      <c r="B12" s="870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71"/>
      <c r="T12" s="626">
        <v>6</v>
      </c>
      <c r="U12" s="478">
        <f>V21</f>
        <v>80.500000000034433</v>
      </c>
      <c r="V12" s="479">
        <f>V29</f>
        <v>162.09231998057896</v>
      </c>
      <c r="W12" s="640">
        <f>V30*60000</f>
        <v>7.9839426897426305E-2</v>
      </c>
    </row>
    <row r="13" spans="2:40" ht="17" customHeight="1" thickBot="1" x14ac:dyDescent="0.25">
      <c r="B13" s="872"/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4"/>
      <c r="T13" s="627">
        <v>7</v>
      </c>
      <c r="U13" s="628">
        <f>V57</f>
        <v>80.000000000034433</v>
      </c>
      <c r="V13" s="629">
        <f>V58</f>
        <v>70</v>
      </c>
      <c r="W13" s="641">
        <f>V59*60000</f>
        <v>6.3333867162855259E-2</v>
      </c>
    </row>
    <row r="14" spans="2:40" x14ac:dyDescent="0.2">
      <c r="T14" t="s">
        <v>532</v>
      </c>
    </row>
    <row r="15" spans="2:40" ht="16" thickBot="1" x14ac:dyDescent="0.25">
      <c r="AC15" s="5"/>
      <c r="AD15" s="5"/>
      <c r="AE15" s="5"/>
      <c r="AF15" s="5"/>
      <c r="AN15" s="263"/>
    </row>
    <row r="16" spans="2:40" ht="19" x14ac:dyDescent="0.25">
      <c r="B16" s="630" t="s">
        <v>302</v>
      </c>
      <c r="C16" s="631"/>
      <c r="D16" s="631"/>
      <c r="E16" s="632"/>
      <c r="K16" s="630" t="s">
        <v>303</v>
      </c>
      <c r="L16" s="631"/>
      <c r="M16" s="631"/>
      <c r="N16" s="632"/>
      <c r="T16" s="630" t="s">
        <v>304</v>
      </c>
      <c r="U16" s="631"/>
      <c r="V16" s="631"/>
      <c r="W16" s="632"/>
      <c r="AC16" s="523"/>
      <c r="AD16" s="5"/>
      <c r="AE16" s="5"/>
      <c r="AF16" s="5"/>
      <c r="AN16" t="s">
        <v>305</v>
      </c>
    </row>
    <row r="17" spans="2:44" x14ac:dyDescent="0.2">
      <c r="B17" s="633"/>
      <c r="C17" s="464"/>
      <c r="D17" s="464"/>
      <c r="E17" s="634"/>
      <c r="K17" s="633"/>
      <c r="L17" s="464"/>
      <c r="M17" s="464"/>
      <c r="N17" s="634"/>
      <c r="T17" s="633"/>
      <c r="U17" s="464"/>
      <c r="V17" s="464"/>
      <c r="W17" s="634"/>
      <c r="AC17" s="5"/>
      <c r="AD17" s="5"/>
      <c r="AE17" s="5"/>
      <c r="AF17" s="5"/>
      <c r="AN17" t="s">
        <v>306</v>
      </c>
    </row>
    <row r="18" spans="2:44" x14ac:dyDescent="0.2">
      <c r="B18" s="622" t="s">
        <v>307</v>
      </c>
      <c r="C18" s="465" t="s">
        <v>308</v>
      </c>
      <c r="D18" s="482">
        <f>D92</f>
        <v>0.99785759508299277</v>
      </c>
      <c r="E18" s="623" t="s">
        <v>309</v>
      </c>
      <c r="K18" s="622" t="s">
        <v>307</v>
      </c>
      <c r="L18" s="465" t="s">
        <v>308</v>
      </c>
      <c r="M18" s="482">
        <f>M92</f>
        <v>0.9872150777579316</v>
      </c>
      <c r="N18" s="623" t="s">
        <v>309</v>
      </c>
      <c r="T18" s="622" t="s">
        <v>307</v>
      </c>
      <c r="U18" s="465" t="s">
        <v>308</v>
      </c>
      <c r="V18" s="482">
        <f>V92</f>
        <v>0.96625046425260075</v>
      </c>
      <c r="W18" s="623" t="s">
        <v>309</v>
      </c>
      <c r="AC18" s="5"/>
      <c r="AD18" s="5"/>
      <c r="AE18" s="5"/>
      <c r="AF18" s="5"/>
    </row>
    <row r="19" spans="2:44" x14ac:dyDescent="0.2">
      <c r="B19" s="622" t="s">
        <v>310</v>
      </c>
      <c r="C19" s="465" t="s">
        <v>207</v>
      </c>
      <c r="D19" s="465">
        <f>'Input-Results'!W12</f>
        <v>2.5</v>
      </c>
      <c r="E19" s="623" t="s">
        <v>177</v>
      </c>
      <c r="K19" s="622" t="s">
        <v>310</v>
      </c>
      <c r="L19" s="465" t="s">
        <v>311</v>
      </c>
      <c r="M19" s="467">
        <f>D57</f>
        <v>7.6771907921246303</v>
      </c>
      <c r="N19" s="623" t="s">
        <v>177</v>
      </c>
      <c r="T19" s="622" t="s">
        <v>310</v>
      </c>
      <c r="U19" s="465" t="s">
        <v>312</v>
      </c>
      <c r="V19" s="467">
        <f>M57</f>
        <v>24.611141541898213</v>
      </c>
      <c r="W19" s="623" t="s">
        <v>177</v>
      </c>
      <c r="AC19" s="5"/>
      <c r="AD19" s="5"/>
      <c r="AE19" s="389"/>
      <c r="AF19" s="5"/>
    </row>
    <row r="20" spans="2:44" x14ac:dyDescent="0.2">
      <c r="B20" s="622" t="s">
        <v>314</v>
      </c>
      <c r="C20" s="465"/>
      <c r="D20" s="467">
        <f>AR31</f>
        <v>3.2708763168498525</v>
      </c>
      <c r="E20" s="623"/>
      <c r="K20" s="622" t="s">
        <v>314</v>
      </c>
      <c r="L20" s="465"/>
      <c r="M20" s="615">
        <f>D20</f>
        <v>3.2708763168498525</v>
      </c>
      <c r="N20" s="623"/>
      <c r="T20" s="622" t="s">
        <v>314</v>
      </c>
      <c r="U20" s="465"/>
      <c r="V20" s="615">
        <f>D20</f>
        <v>3.2708763168498525</v>
      </c>
      <c r="W20" s="623"/>
      <c r="AC20" s="5"/>
      <c r="AD20" s="5"/>
      <c r="AE20" s="389"/>
      <c r="AF20" s="5"/>
    </row>
    <row r="21" spans="2:44" x14ac:dyDescent="0.2">
      <c r="B21" s="622" t="s">
        <v>315</v>
      </c>
      <c r="C21" s="465" t="s">
        <v>208</v>
      </c>
      <c r="D21" s="467">
        <f>D19*D20</f>
        <v>8.1771907921246303</v>
      </c>
      <c r="E21" s="623" t="s">
        <v>177</v>
      </c>
      <c r="K21" s="622" t="s">
        <v>315</v>
      </c>
      <c r="L21" s="465" t="s">
        <v>316</v>
      </c>
      <c r="M21" s="467">
        <f>M19*M20</f>
        <v>25.111141541898213</v>
      </c>
      <c r="N21" s="623" t="s">
        <v>177</v>
      </c>
      <c r="T21" s="622" t="s">
        <v>315</v>
      </c>
      <c r="U21" s="465" t="s">
        <v>317</v>
      </c>
      <c r="V21" s="467">
        <f>V19*V20</f>
        <v>80.500000000034433</v>
      </c>
      <c r="W21" s="623" t="s">
        <v>177</v>
      </c>
      <c r="AC21" s="5"/>
      <c r="AD21" s="5"/>
      <c r="AE21" s="389"/>
      <c r="AF21" s="5"/>
    </row>
    <row r="22" spans="2:44" x14ac:dyDescent="0.2">
      <c r="B22" s="622" t="s">
        <v>318</v>
      </c>
      <c r="C22" s="465" t="s">
        <v>57</v>
      </c>
      <c r="D22" s="465">
        <v>8.31</v>
      </c>
      <c r="E22" s="623" t="s">
        <v>319</v>
      </c>
      <c r="K22" s="622" t="s">
        <v>318</v>
      </c>
      <c r="L22" s="465" t="s">
        <v>57</v>
      </c>
      <c r="M22" s="465">
        <f>D22</f>
        <v>8.31</v>
      </c>
      <c r="N22" s="623" t="s">
        <v>319</v>
      </c>
      <c r="T22" s="622" t="s">
        <v>318</v>
      </c>
      <c r="U22" s="465" t="s">
        <v>57</v>
      </c>
      <c r="V22" s="465">
        <f>M22</f>
        <v>8.31</v>
      </c>
      <c r="W22" s="623" t="s">
        <v>319</v>
      </c>
      <c r="AC22" s="5"/>
      <c r="AD22" s="5"/>
      <c r="AE22" s="5"/>
      <c r="AF22" s="5"/>
    </row>
    <row r="23" spans="2:44" ht="17" x14ac:dyDescent="0.2">
      <c r="B23" s="622"/>
      <c r="C23" s="465"/>
      <c r="D23" s="465"/>
      <c r="E23" s="623"/>
      <c r="K23" s="622"/>
      <c r="L23" s="465"/>
      <c r="M23" s="465"/>
      <c r="N23" s="623"/>
      <c r="T23" s="622"/>
      <c r="U23" s="465"/>
      <c r="V23" s="465"/>
      <c r="W23" s="623"/>
      <c r="AC23" s="5"/>
      <c r="AD23" s="5"/>
      <c r="AE23" s="5"/>
      <c r="AF23" s="5"/>
      <c r="AN23" t="s">
        <v>529</v>
      </c>
      <c r="AQ23" s="5" t="s">
        <v>144</v>
      </c>
      <c r="AR23" s="5">
        <f>D19</f>
        <v>2.5</v>
      </c>
    </row>
    <row r="24" spans="2:44" x14ac:dyDescent="0.2">
      <c r="B24" s="622" t="s">
        <v>320</v>
      </c>
      <c r="C24" s="465" t="s">
        <v>321</v>
      </c>
      <c r="D24" s="54">
        <v>16.04</v>
      </c>
      <c r="E24" s="623" t="s">
        <v>70</v>
      </c>
      <c r="K24" s="622" t="s">
        <v>320</v>
      </c>
      <c r="L24" s="465" t="s">
        <v>321</v>
      </c>
      <c r="M24" s="465">
        <f>D24</f>
        <v>16.04</v>
      </c>
      <c r="N24" s="623" t="s">
        <v>70</v>
      </c>
      <c r="T24" s="622" t="s">
        <v>320</v>
      </c>
      <c r="U24" s="465" t="s">
        <v>321</v>
      </c>
      <c r="V24" s="465">
        <f>M24</f>
        <v>16.04</v>
      </c>
      <c r="W24" s="623" t="s">
        <v>70</v>
      </c>
      <c r="AC24" s="5"/>
      <c r="AD24" s="5"/>
      <c r="AE24" s="5"/>
      <c r="AF24" s="5"/>
      <c r="AQ24" s="5" t="s">
        <v>524</v>
      </c>
      <c r="AR24" s="5">
        <f>IF(D45=AN16,-1*D48,0)</f>
        <v>-0.5</v>
      </c>
    </row>
    <row r="25" spans="2:44" x14ac:dyDescent="0.2">
      <c r="B25" s="622" t="s">
        <v>322</v>
      </c>
      <c r="C25" s="465" t="s">
        <v>273</v>
      </c>
      <c r="D25" s="468">
        <f>'CON4'!B34</f>
        <v>91.62256349076462</v>
      </c>
      <c r="E25" s="623" t="s">
        <v>7</v>
      </c>
      <c r="K25" s="622" t="s">
        <v>322</v>
      </c>
      <c r="L25" s="465" t="s">
        <v>323</v>
      </c>
      <c r="M25" s="468">
        <f>D58</f>
        <v>31</v>
      </c>
      <c r="N25" s="623" t="s">
        <v>7</v>
      </c>
      <c r="T25" s="622" t="s">
        <v>322</v>
      </c>
      <c r="U25" s="465" t="s">
        <v>324</v>
      </c>
      <c r="V25" s="468">
        <f>M58</f>
        <v>47</v>
      </c>
      <c r="W25" s="623" t="s">
        <v>7</v>
      </c>
      <c r="AC25" s="5"/>
      <c r="AD25" s="5"/>
      <c r="AE25" s="167"/>
      <c r="AF25" s="5"/>
      <c r="AQ25" s="5" t="s">
        <v>525</v>
      </c>
      <c r="AR25" s="168">
        <f>IF(M45=AN16,-1*M48,0)</f>
        <v>-0.5</v>
      </c>
    </row>
    <row r="26" spans="2:44" x14ac:dyDescent="0.2">
      <c r="B26" s="622"/>
      <c r="C26" s="465"/>
      <c r="D26" s="465"/>
      <c r="E26" s="623"/>
      <c r="K26" s="622"/>
      <c r="L26" s="465"/>
      <c r="M26" s="465"/>
      <c r="N26" s="623"/>
      <c r="T26" s="622"/>
      <c r="U26" s="465"/>
      <c r="V26" s="465"/>
      <c r="W26" s="623"/>
      <c r="AC26" s="5"/>
      <c r="AD26" s="5"/>
      <c r="AE26" s="5"/>
      <c r="AF26" s="5"/>
      <c r="AQ26" s="5" t="s">
        <v>133</v>
      </c>
      <c r="AR26" s="5">
        <f>IF(V45=AN16,-1*V48-'Input-Results'!D25,-1*'Input-Results'!D25)</f>
        <v>-80.5</v>
      </c>
    </row>
    <row r="27" spans="2:44" x14ac:dyDescent="0.2">
      <c r="B27" s="622" t="s">
        <v>326</v>
      </c>
      <c r="C27" s="465" t="s">
        <v>53</v>
      </c>
      <c r="D27" s="54">
        <v>1.35</v>
      </c>
      <c r="E27" s="623"/>
      <c r="K27" s="622" t="s">
        <v>326</v>
      </c>
      <c r="L27" s="465" t="s">
        <v>53</v>
      </c>
      <c r="M27" s="465">
        <f>D27</f>
        <v>1.35</v>
      </c>
      <c r="N27" s="623"/>
      <c r="T27" s="622" t="s">
        <v>326</v>
      </c>
      <c r="U27" s="465" t="s">
        <v>53</v>
      </c>
      <c r="V27" s="465">
        <f>M27</f>
        <v>1.35</v>
      </c>
      <c r="W27" s="623"/>
      <c r="AC27" s="5"/>
      <c r="AD27" s="5"/>
      <c r="AE27" s="5"/>
      <c r="AF27" s="5"/>
      <c r="AQ27" s="5"/>
      <c r="AR27" s="4"/>
    </row>
    <row r="28" spans="2:44" x14ac:dyDescent="0.2">
      <c r="B28" s="622"/>
      <c r="C28" s="465"/>
      <c r="D28" s="465"/>
      <c r="E28" s="623"/>
      <c r="K28" s="622"/>
      <c r="L28" s="465"/>
      <c r="M28" s="465"/>
      <c r="N28" s="623"/>
      <c r="T28" s="622"/>
      <c r="U28" s="465"/>
      <c r="V28" s="465"/>
      <c r="W28" s="623"/>
      <c r="AC28" s="5"/>
      <c r="AD28" s="5"/>
      <c r="AE28" s="5"/>
      <c r="AF28" s="5"/>
      <c r="AQ28" s="5" t="s">
        <v>526</v>
      </c>
      <c r="AR28" s="237">
        <f>((2*AR24^3)/(27*AR23^3))-((AR24*AR25)/(3*AR23^2))+(AR26/AR23)</f>
        <v>-32.213925925925928</v>
      </c>
    </row>
    <row r="29" spans="2:44" x14ac:dyDescent="0.2">
      <c r="B29" s="622" t="s">
        <v>327</v>
      </c>
      <c r="C29" s="465" t="s">
        <v>206</v>
      </c>
      <c r="D29" s="468">
        <f>(((((D25+273)^D27)*((D19*100000)^(1-D27)))/((D21*100000)^(1-D27)))^(1/D27))-273</f>
        <v>222.76399083269655</v>
      </c>
      <c r="E29" s="623" t="s">
        <v>7</v>
      </c>
      <c r="K29" s="622" t="s">
        <v>327</v>
      </c>
      <c r="L29" s="465" t="s">
        <v>328</v>
      </c>
      <c r="M29" s="468">
        <f>(((((M25+273)^M27)*((M19*100000)^(1-M27)))/((M21*100000)^(1-M27)))^(1/M27))-273</f>
        <v>140.33770398155053</v>
      </c>
      <c r="N29" s="623" t="s">
        <v>7</v>
      </c>
      <c r="T29" s="622" t="s">
        <v>327</v>
      </c>
      <c r="U29" s="465" t="s">
        <v>329</v>
      </c>
      <c r="V29" s="468">
        <f>(((((V25+273)^V27)*((V19*100000)^(1-V27)))/((V21*100000)^(1-V27)))^(1/V27))-273</f>
        <v>162.09231998057896</v>
      </c>
      <c r="W29" s="623" t="s">
        <v>7</v>
      </c>
      <c r="AC29" s="5"/>
      <c r="AD29" s="5"/>
      <c r="AE29" s="167"/>
      <c r="AF29" s="5"/>
      <c r="AQ29" s="5" t="s">
        <v>527</v>
      </c>
      <c r="AR29" s="237">
        <f>(AR25/AR23)-((AR24^2)/(3*AR23^2))</f>
        <v>-0.21333333333333335</v>
      </c>
    </row>
    <row r="30" spans="2:44" x14ac:dyDescent="0.2">
      <c r="B30" s="622" t="s">
        <v>330</v>
      </c>
      <c r="C30" s="465" t="s">
        <v>210</v>
      </c>
      <c r="D30" s="616">
        <f>(D19*D37*(D29+273))/((D25+273)*D21)</f>
        <v>1.4926276130357836E-5</v>
      </c>
      <c r="E30" s="623" t="s">
        <v>222</v>
      </c>
      <c r="K30" s="622" t="s">
        <v>330</v>
      </c>
      <c r="L30" s="465" t="s">
        <v>331</v>
      </c>
      <c r="M30" s="616">
        <f>(M19*M37*(M29+273))/((M25+273)*M21)</f>
        <v>4.0524642297363193E-6</v>
      </c>
      <c r="N30" s="623" t="s">
        <v>222</v>
      </c>
      <c r="T30" s="622" t="s">
        <v>330</v>
      </c>
      <c r="U30" s="465" t="s">
        <v>332</v>
      </c>
      <c r="V30" s="616">
        <f>(V19*V37*(V29+273))/((V25+273)*V21)</f>
        <v>1.330657114957105E-6</v>
      </c>
      <c r="W30" s="623" t="s">
        <v>222</v>
      </c>
      <c r="AC30" s="5"/>
      <c r="AD30" s="5"/>
      <c r="AE30" s="389"/>
      <c r="AF30" s="5"/>
      <c r="AQ30" s="525"/>
      <c r="AR30" s="168"/>
    </row>
    <row r="31" spans="2:44" ht="17" x14ac:dyDescent="0.25">
      <c r="B31" s="622" t="s">
        <v>333</v>
      </c>
      <c r="C31" s="465" t="s">
        <v>334</v>
      </c>
      <c r="D31" s="468">
        <f>D18*D22*(273+D25)*(D27/(D27-1))*(((D21/D19)^((D27-1)/D27))-1)</f>
        <v>4194.4519282217789</v>
      </c>
      <c r="E31" s="623" t="s">
        <v>335</v>
      </c>
      <c r="K31" s="622" t="s">
        <v>333</v>
      </c>
      <c r="L31" s="465" t="s">
        <v>334</v>
      </c>
      <c r="M31" s="468">
        <f>M18*M22*(273+M25)*(M27/(M27-1))*(((M21/M19)^((M27-1)/M27))-1)</f>
        <v>3459.7799490276434</v>
      </c>
      <c r="N31" s="623" t="s">
        <v>335</v>
      </c>
      <c r="T31" s="622" t="s">
        <v>333</v>
      </c>
      <c r="U31" s="465" t="s">
        <v>334</v>
      </c>
      <c r="V31" s="468">
        <f>V18*V22*(273+V25)*(V27/(V27-1))*(((V21/V19)^((V27-1)/V27))-1)</f>
        <v>3564.5343811658586</v>
      </c>
      <c r="W31" s="623" t="s">
        <v>335</v>
      </c>
      <c r="AC31" s="5"/>
      <c r="AD31" s="5"/>
      <c r="AE31" s="389"/>
      <c r="AF31" s="5"/>
      <c r="AQ31" s="525" t="s">
        <v>528</v>
      </c>
      <c r="AR31" s="237">
        <f>((-1*AR28+(((AR28^2+(4/27)*(AR29^3)))^0.5))/2)^(1/3)+((-1*AR28-(((AR28^2+(4/27)*(AR29^3)))^0.5))/2)^(1/3)-(AR24/(3*AR23))</f>
        <v>3.2708763168498525</v>
      </c>
    </row>
    <row r="32" spans="2:44" x14ac:dyDescent="0.2">
      <c r="B32" s="622"/>
      <c r="C32" s="465"/>
      <c r="D32" s="467">
        <f>D31/D24</f>
        <v>261.49949677193138</v>
      </c>
      <c r="E32" s="623" t="s">
        <v>255</v>
      </c>
      <c r="K32" s="622"/>
      <c r="L32" s="465"/>
      <c r="M32" s="467">
        <f>M31/M24</f>
        <v>215.69700430346904</v>
      </c>
      <c r="N32" s="623" t="s">
        <v>255</v>
      </c>
      <c r="T32" s="622"/>
      <c r="U32" s="465"/>
      <c r="V32" s="467">
        <f>V31/V24</f>
        <v>222.22782924974183</v>
      </c>
      <c r="W32" s="623" t="s">
        <v>255</v>
      </c>
      <c r="AC32" s="5"/>
      <c r="AD32" s="5"/>
      <c r="AE32" s="389"/>
      <c r="AF32" s="5"/>
      <c r="AN32" s="525"/>
      <c r="AO32" s="389"/>
    </row>
    <row r="33" spans="2:41" x14ac:dyDescent="0.2">
      <c r="B33" s="622"/>
      <c r="C33" s="465"/>
      <c r="D33" s="465"/>
      <c r="E33" s="623"/>
      <c r="K33" s="622"/>
      <c r="L33" s="465"/>
      <c r="M33" s="465"/>
      <c r="N33" s="623"/>
      <c r="T33" s="622"/>
      <c r="U33" s="465"/>
      <c r="V33" s="465"/>
      <c r="W33" s="623"/>
      <c r="AC33" s="5"/>
      <c r="AD33" s="5"/>
      <c r="AE33" s="5"/>
      <c r="AF33" s="5"/>
      <c r="AN33" s="5"/>
      <c r="AO33" s="389"/>
    </row>
    <row r="34" spans="2:41" x14ac:dyDescent="0.2">
      <c r="B34" s="622" t="s">
        <v>336</v>
      </c>
      <c r="C34" s="465" t="s">
        <v>211</v>
      </c>
      <c r="D34" s="616">
        <f>'HE5'!M30</f>
        <v>6.7211450866732476E-5</v>
      </c>
      <c r="E34" s="623" t="s">
        <v>337</v>
      </c>
      <c r="K34" s="622" t="s">
        <v>336</v>
      </c>
      <c r="L34" s="465" t="s">
        <v>211</v>
      </c>
      <c r="M34" s="616">
        <f>D34</f>
        <v>6.7211450866732476E-5</v>
      </c>
      <c r="N34" s="623" t="s">
        <v>337</v>
      </c>
      <c r="T34" s="622" t="s">
        <v>336</v>
      </c>
      <c r="U34" s="465" t="s">
        <v>211</v>
      </c>
      <c r="V34" s="616">
        <f>M34</f>
        <v>6.7211450866732476E-5</v>
      </c>
      <c r="W34" s="623" t="s">
        <v>337</v>
      </c>
      <c r="AC34" s="5"/>
      <c r="AD34" s="5"/>
      <c r="AE34" s="5"/>
      <c r="AF34" s="5"/>
    </row>
    <row r="35" spans="2:41" ht="18" x14ac:dyDescent="0.25">
      <c r="B35" s="622" t="s">
        <v>338</v>
      </c>
      <c r="C35" s="469" t="s">
        <v>339</v>
      </c>
      <c r="D35" s="466">
        <f>(100000/(D22*273))*(D24/1000)</f>
        <v>0.7070346420526924</v>
      </c>
      <c r="E35" s="623" t="s">
        <v>340</v>
      </c>
      <c r="K35" s="622" t="s">
        <v>338</v>
      </c>
      <c r="L35" s="469" t="s">
        <v>339</v>
      </c>
      <c r="M35" s="466">
        <f>(100000/(M22*273))*(M24/1000)</f>
        <v>0.7070346420526924</v>
      </c>
      <c r="N35" s="623" t="s">
        <v>340</v>
      </c>
      <c r="T35" s="622" t="s">
        <v>338</v>
      </c>
      <c r="U35" s="469" t="s">
        <v>339</v>
      </c>
      <c r="V35" s="466">
        <f>(100000/(V22*273))*(V24/1000)</f>
        <v>0.7070346420526924</v>
      </c>
      <c r="W35" s="623" t="s">
        <v>340</v>
      </c>
      <c r="AC35" s="5"/>
      <c r="AD35" s="491"/>
      <c r="AE35" s="237"/>
      <c r="AF35" s="5"/>
    </row>
    <row r="36" spans="2:41" ht="18" x14ac:dyDescent="0.25">
      <c r="B36" s="622" t="s">
        <v>341</v>
      </c>
      <c r="C36" s="469" t="s">
        <v>342</v>
      </c>
      <c r="D36" s="467">
        <f>((D19*100000)/(D22*(D25+273)))*(D24/1000)</f>
        <v>1.3234264456406439</v>
      </c>
      <c r="E36" s="623" t="s">
        <v>23</v>
      </c>
      <c r="G36" s="465" t="s">
        <v>343</v>
      </c>
      <c r="H36" s="467">
        <f>((D21*100000)/(D22*(D29+273)))*(D24/1000)</f>
        <v>3.183702598717975</v>
      </c>
      <c r="I36" s="465" t="s">
        <v>23</v>
      </c>
      <c r="J36" s="5"/>
      <c r="K36" s="622" t="s">
        <v>344</v>
      </c>
      <c r="L36" s="469" t="s">
        <v>345</v>
      </c>
      <c r="M36" s="467">
        <f>((M19*100000)/(M22*(M25+273)))*(M24/1000)</f>
        <v>4.8745226227784793</v>
      </c>
      <c r="N36" s="623" t="s">
        <v>23</v>
      </c>
      <c r="P36" s="465" t="s">
        <v>346</v>
      </c>
      <c r="Q36" s="467">
        <f>((M21*100000)/(M22*(M29+273)))*(M24/1000)</f>
        <v>11.726401865981266</v>
      </c>
      <c r="R36" s="470" t="s">
        <v>23</v>
      </c>
      <c r="S36" s="5"/>
      <c r="T36" s="622" t="s">
        <v>347</v>
      </c>
      <c r="U36" s="469" t="s">
        <v>348</v>
      </c>
      <c r="V36" s="467">
        <f>((V19*100000)/(V22*(V25+273)))*(V24/1000)</f>
        <v>14.845168108154605</v>
      </c>
      <c r="W36" s="623" t="s">
        <v>23</v>
      </c>
      <c r="Y36" s="465" t="s">
        <v>349</v>
      </c>
      <c r="Z36" s="467">
        <f>((V21*100000)/(V22*(V29+273)))*(V24/1000)</f>
        <v>35.712298511201517</v>
      </c>
      <c r="AA36" s="470" t="s">
        <v>23</v>
      </c>
      <c r="AC36" s="5"/>
      <c r="AE36" s="389"/>
      <c r="AF36" s="5"/>
    </row>
    <row r="37" spans="2:41" x14ac:dyDescent="0.2">
      <c r="B37" s="622" t="s">
        <v>350</v>
      </c>
      <c r="C37" s="465" t="s">
        <v>209</v>
      </c>
      <c r="D37" s="616">
        <f>(D34*(273+D25))/(273*D19)</f>
        <v>3.5907416133277021E-5</v>
      </c>
      <c r="E37" s="623" t="s">
        <v>222</v>
      </c>
      <c r="G37" s="465" t="s">
        <v>343</v>
      </c>
      <c r="H37" s="467">
        <f>(D34*(273+D29))/(273*D21)</f>
        <v>1.4926276130357838E-5</v>
      </c>
      <c r="I37" s="465" t="s">
        <v>222</v>
      </c>
      <c r="J37" s="5"/>
      <c r="K37" s="622" t="s">
        <v>351</v>
      </c>
      <c r="L37" s="465"/>
      <c r="M37" s="616">
        <f>(M34*(273+M25))/(273*M19)</f>
        <v>9.7488159934552587E-6</v>
      </c>
      <c r="N37" s="623" t="s">
        <v>222</v>
      </c>
      <c r="P37" s="465" t="s">
        <v>346</v>
      </c>
      <c r="Q37" s="467">
        <f>(M34*(273+M29))/(273*M21)</f>
        <v>4.052464229736321E-6</v>
      </c>
      <c r="R37" s="465" t="s">
        <v>222</v>
      </c>
      <c r="S37" s="5"/>
      <c r="T37" s="622" t="s">
        <v>352</v>
      </c>
      <c r="U37" s="465"/>
      <c r="V37" s="616">
        <f>(V34*(273+V25))/(273*V19)</f>
        <v>3.2010970680283935E-6</v>
      </c>
      <c r="W37" s="623" t="s">
        <v>222</v>
      </c>
      <c r="Y37" s="465" t="s">
        <v>349</v>
      </c>
      <c r="Z37" s="467">
        <f>(V34*(273+V29))/(273*V21)</f>
        <v>1.330657114957105E-6</v>
      </c>
      <c r="AA37" s="465" t="s">
        <v>222</v>
      </c>
      <c r="AC37" s="5"/>
      <c r="AD37" s="5"/>
      <c r="AE37" s="389"/>
      <c r="AF37" s="5"/>
    </row>
    <row r="38" spans="2:41" x14ac:dyDescent="0.2">
      <c r="B38" s="622"/>
      <c r="C38" s="465"/>
      <c r="D38" s="616">
        <f>D37*3600</f>
        <v>0.12926669807979727</v>
      </c>
      <c r="E38" s="623" t="s">
        <v>25</v>
      </c>
      <c r="G38" s="465" t="s">
        <v>343</v>
      </c>
      <c r="H38" s="468">
        <f>H37*3600</f>
        <v>5.3734594069288218E-2</v>
      </c>
      <c r="I38" s="465" t="s">
        <v>25</v>
      </c>
      <c r="J38" s="5"/>
      <c r="K38" s="622"/>
      <c r="L38" s="465"/>
      <c r="M38" s="616">
        <f>M37*3600</f>
        <v>3.5095737576438933E-2</v>
      </c>
      <c r="N38" s="623" t="s">
        <v>25</v>
      </c>
      <c r="P38" s="465" t="s">
        <v>346</v>
      </c>
      <c r="Q38" s="468">
        <f>Q37*3600</f>
        <v>1.4588871227050755E-2</v>
      </c>
      <c r="R38" s="465" t="s">
        <v>25</v>
      </c>
      <c r="S38" s="5"/>
      <c r="T38" s="622"/>
      <c r="U38" s="465"/>
      <c r="V38" s="616">
        <f>V37*3600</f>
        <v>1.1523949444902216E-2</v>
      </c>
      <c r="W38" s="623" t="s">
        <v>25</v>
      </c>
      <c r="Y38" s="465" t="s">
        <v>349</v>
      </c>
      <c r="Z38" s="468">
        <f>Z37*3600</f>
        <v>4.7903656138455781E-3</v>
      </c>
      <c r="AA38" s="465" t="s">
        <v>25</v>
      </c>
      <c r="AC38" s="5"/>
      <c r="AD38" s="5"/>
      <c r="AE38" s="167"/>
      <c r="AF38" s="5"/>
    </row>
    <row r="39" spans="2:41" x14ac:dyDescent="0.2">
      <c r="B39" s="622" t="s">
        <v>353</v>
      </c>
      <c r="C39" s="465"/>
      <c r="D39" s="616">
        <f>D34*D35</f>
        <v>4.752082410540232E-5</v>
      </c>
      <c r="E39" s="623" t="s">
        <v>3</v>
      </c>
      <c r="G39" s="465" t="s">
        <v>343</v>
      </c>
      <c r="H39" s="467">
        <f>H36*H37</f>
        <v>4.7520824105402327E-5</v>
      </c>
      <c r="I39" s="465" t="s">
        <v>3</v>
      </c>
      <c r="J39" s="5"/>
      <c r="K39" s="622" t="s">
        <v>354</v>
      </c>
      <c r="L39" s="465"/>
      <c r="M39" s="616">
        <f>M34*M35</f>
        <v>4.752082410540232E-5</v>
      </c>
      <c r="N39" s="623" t="s">
        <v>3</v>
      </c>
      <c r="P39" s="465" t="s">
        <v>346</v>
      </c>
      <c r="Q39" s="467">
        <f>Q36*Q37</f>
        <v>4.7520824105402327E-5</v>
      </c>
      <c r="R39" s="465" t="s">
        <v>3</v>
      </c>
      <c r="S39" s="5"/>
      <c r="T39" s="622" t="s">
        <v>355</v>
      </c>
      <c r="U39" s="465"/>
      <c r="V39" s="616">
        <f>V34*V35</f>
        <v>4.752082410540232E-5</v>
      </c>
      <c r="W39" s="623" t="s">
        <v>3</v>
      </c>
      <c r="Y39" s="465" t="s">
        <v>349</v>
      </c>
      <c r="Z39" s="467">
        <f>Z36*Z37</f>
        <v>4.7520824105402327E-5</v>
      </c>
      <c r="AA39" s="465" t="s">
        <v>3</v>
      </c>
      <c r="AC39" s="5"/>
      <c r="AD39" s="5"/>
      <c r="AE39" s="389"/>
      <c r="AF39" s="5"/>
    </row>
    <row r="40" spans="2:41" ht="17" x14ac:dyDescent="0.25">
      <c r="B40" s="622" t="s">
        <v>356</v>
      </c>
      <c r="C40" s="465" t="s">
        <v>357</v>
      </c>
      <c r="D40" s="616">
        <f>D32*D39</f>
        <v>1.2426671589750173E-2</v>
      </c>
      <c r="E40" s="623" t="s">
        <v>358</v>
      </c>
      <c r="G40" s="465" t="s">
        <v>343</v>
      </c>
      <c r="H40" s="468">
        <f>H39*D32</f>
        <v>1.2426671589750174E-2</v>
      </c>
      <c r="I40" s="465" t="s">
        <v>358</v>
      </c>
      <c r="J40" s="5"/>
      <c r="K40" s="622" t="s">
        <v>356</v>
      </c>
      <c r="L40" s="465" t="s">
        <v>357</v>
      </c>
      <c r="M40" s="616">
        <f>M32*M39</f>
        <v>1.025009940156736E-2</v>
      </c>
      <c r="N40" s="623" t="s">
        <v>358</v>
      </c>
      <c r="P40" s="465" t="s">
        <v>346</v>
      </c>
      <c r="Q40" s="468">
        <f>Q39*M32</f>
        <v>1.0250099401567361E-2</v>
      </c>
      <c r="R40" s="465" t="s">
        <v>358</v>
      </c>
      <c r="S40" s="5"/>
      <c r="T40" s="622" t="s">
        <v>356</v>
      </c>
      <c r="U40" s="465" t="s">
        <v>357</v>
      </c>
      <c r="V40" s="616">
        <f>V32*V39</f>
        <v>1.0560449585102362E-2</v>
      </c>
      <c r="W40" s="623" t="s">
        <v>358</v>
      </c>
      <c r="Y40" s="465" t="s">
        <v>349</v>
      </c>
      <c r="Z40" s="468">
        <f>Z39*V32</f>
        <v>1.0560449585102364E-2</v>
      </c>
      <c r="AA40" s="465" t="s">
        <v>358</v>
      </c>
      <c r="AC40" s="5"/>
      <c r="AD40" s="5"/>
      <c r="AE40" s="167"/>
      <c r="AF40" s="5"/>
    </row>
    <row r="41" spans="2:41" x14ac:dyDescent="0.2">
      <c r="B41" s="622"/>
      <c r="C41" s="465"/>
      <c r="D41" s="465"/>
      <c r="E41" s="623"/>
      <c r="K41" s="622"/>
      <c r="L41" s="465"/>
      <c r="M41" s="465"/>
      <c r="N41" s="623"/>
      <c r="T41" s="622"/>
      <c r="U41" s="465"/>
      <c r="V41" s="465"/>
      <c r="W41" s="623"/>
      <c r="AC41" s="5"/>
      <c r="AF41" s="5"/>
    </row>
    <row r="42" spans="2:41" x14ac:dyDescent="0.2">
      <c r="B42" s="622" t="s">
        <v>359</v>
      </c>
      <c r="C42" s="465"/>
      <c r="D42" s="465">
        <f>M42*80/75</f>
        <v>80</v>
      </c>
      <c r="E42" s="623" t="s">
        <v>77</v>
      </c>
      <c r="K42" s="622" t="s">
        <v>359</v>
      </c>
      <c r="L42" s="465"/>
      <c r="M42" s="481">
        <f>'Input-Results'!AD9*100</f>
        <v>75</v>
      </c>
      <c r="N42" s="623" t="s">
        <v>77</v>
      </c>
      <c r="T42" s="622" t="s">
        <v>359</v>
      </c>
      <c r="U42" s="465"/>
      <c r="V42" s="465">
        <f>M42*70/75</f>
        <v>70</v>
      </c>
      <c r="W42" s="623" t="s">
        <v>77</v>
      </c>
      <c r="AC42" s="5"/>
      <c r="AF42" s="5"/>
    </row>
    <row r="43" spans="2:41" x14ac:dyDescent="0.2">
      <c r="B43" s="622" t="s">
        <v>360</v>
      </c>
      <c r="C43" s="465"/>
      <c r="D43" s="466">
        <f>D40/(D42/100)</f>
        <v>1.5533339487187716E-2</v>
      </c>
      <c r="E43" s="623" t="s">
        <v>358</v>
      </c>
      <c r="K43" s="622" t="s">
        <v>360</v>
      </c>
      <c r="L43" s="465"/>
      <c r="M43" s="466">
        <f>M40/(M42/100)</f>
        <v>1.3666799202089812E-2</v>
      </c>
      <c r="N43" s="623" t="s">
        <v>358</v>
      </c>
      <c r="T43" s="622" t="s">
        <v>360</v>
      </c>
      <c r="U43" s="465"/>
      <c r="V43" s="466">
        <f>V40/(V42/100)</f>
        <v>1.5086356550146233E-2</v>
      </c>
      <c r="W43" s="623" t="s">
        <v>358</v>
      </c>
      <c r="AC43" s="5"/>
      <c r="AF43" s="5"/>
    </row>
    <row r="44" spans="2:41" x14ac:dyDescent="0.2">
      <c r="B44" s="120"/>
      <c r="C44" s="2"/>
      <c r="D44" s="2"/>
      <c r="E44" s="121"/>
      <c r="K44" s="120"/>
      <c r="L44" s="2"/>
      <c r="M44" s="2"/>
      <c r="N44" s="121"/>
      <c r="T44" s="120"/>
      <c r="U44" s="2"/>
      <c r="V44" s="2"/>
      <c r="W44" s="121"/>
      <c r="AC44" s="5"/>
      <c r="AF44" s="5"/>
    </row>
    <row r="45" spans="2:41" ht="14.5" customHeight="1" x14ac:dyDescent="0.2">
      <c r="B45" s="635" t="s">
        <v>361</v>
      </c>
      <c r="C45" s="465" t="s">
        <v>362</v>
      </c>
      <c r="D45" s="471" t="s">
        <v>305</v>
      </c>
      <c r="E45" s="623"/>
      <c r="K45" s="635" t="s">
        <v>361</v>
      </c>
      <c r="L45" s="465" t="s">
        <v>362</v>
      </c>
      <c r="M45" s="471" t="s">
        <v>305</v>
      </c>
      <c r="N45" s="623"/>
      <c r="T45" s="635" t="s">
        <v>361</v>
      </c>
      <c r="U45" s="465" t="s">
        <v>362</v>
      </c>
      <c r="V45" s="471" t="s">
        <v>305</v>
      </c>
      <c r="W45" s="623"/>
      <c r="AC45" s="524"/>
      <c r="AF45" s="5"/>
    </row>
    <row r="46" spans="2:41" x14ac:dyDescent="0.2">
      <c r="B46" s="622" t="s">
        <v>322</v>
      </c>
      <c r="C46" s="465" t="s">
        <v>206</v>
      </c>
      <c r="D46" s="468">
        <f>D29</f>
        <v>222.76399083269655</v>
      </c>
      <c r="E46" s="623" t="s">
        <v>7</v>
      </c>
      <c r="K46" s="622" t="s">
        <v>322</v>
      </c>
      <c r="L46" s="465" t="s">
        <v>328</v>
      </c>
      <c r="M46" s="468">
        <f>M29</f>
        <v>140.33770398155053</v>
      </c>
      <c r="N46" s="623" t="s">
        <v>7</v>
      </c>
      <c r="T46" s="622" t="s">
        <v>322</v>
      </c>
      <c r="U46" s="465" t="s">
        <v>329</v>
      </c>
      <c r="V46" s="468">
        <f>V29</f>
        <v>162.09231998057896</v>
      </c>
      <c r="W46" s="623" t="s">
        <v>7</v>
      </c>
      <c r="AC46" s="5"/>
      <c r="AF46" s="5"/>
    </row>
    <row r="47" spans="2:41" x14ac:dyDescent="0.2">
      <c r="B47" s="622" t="s">
        <v>327</v>
      </c>
      <c r="C47" s="465" t="s">
        <v>323</v>
      </c>
      <c r="D47" s="54">
        <v>31</v>
      </c>
      <c r="E47" s="623" t="s">
        <v>7</v>
      </c>
      <c r="K47" s="622" t="s">
        <v>327</v>
      </c>
      <c r="L47" s="465" t="s">
        <v>324</v>
      </c>
      <c r="M47" s="54">
        <v>47</v>
      </c>
      <c r="N47" s="623" t="s">
        <v>7</v>
      </c>
      <c r="T47" s="622" t="s">
        <v>327</v>
      </c>
      <c r="U47" s="465" t="s">
        <v>325</v>
      </c>
      <c r="V47" s="54">
        <v>70</v>
      </c>
      <c r="W47" s="623" t="s">
        <v>7</v>
      </c>
      <c r="AC47" s="5"/>
      <c r="AF47" s="5"/>
    </row>
    <row r="48" spans="2:41" x14ac:dyDescent="0.2">
      <c r="B48" s="622" t="s">
        <v>363</v>
      </c>
      <c r="C48" s="472" t="s">
        <v>364</v>
      </c>
      <c r="D48" s="473">
        <v>0.5</v>
      </c>
      <c r="E48" s="623" t="s">
        <v>177</v>
      </c>
      <c r="K48" s="622" t="s">
        <v>363</v>
      </c>
      <c r="L48" s="472" t="s">
        <v>364</v>
      </c>
      <c r="M48" s="473">
        <v>0.5</v>
      </c>
      <c r="N48" s="623" t="s">
        <v>177</v>
      </c>
      <c r="T48" s="622" t="s">
        <v>363</v>
      </c>
      <c r="U48" s="472" t="s">
        <v>364</v>
      </c>
      <c r="V48" s="473">
        <v>0.5</v>
      </c>
      <c r="W48" s="623" t="s">
        <v>177</v>
      </c>
      <c r="AC48" s="5"/>
      <c r="AF48" s="5"/>
    </row>
    <row r="49" spans="2:32" x14ac:dyDescent="0.2">
      <c r="B49" s="622" t="s">
        <v>365</v>
      </c>
      <c r="C49" s="472" t="s">
        <v>366</v>
      </c>
      <c r="D49" s="467">
        <f>D93</f>
        <v>2.4092190796411903</v>
      </c>
      <c r="E49" s="623" t="s">
        <v>367</v>
      </c>
      <c r="K49" s="622" t="s">
        <v>365</v>
      </c>
      <c r="L49" s="472" t="s">
        <v>366</v>
      </c>
      <c r="M49" s="467">
        <f>M93</f>
        <v>2.3912916744947044</v>
      </c>
      <c r="N49" s="623" t="s">
        <v>367</v>
      </c>
      <c r="T49" s="622" t="s">
        <v>365</v>
      </c>
      <c r="U49" s="472" t="s">
        <v>366</v>
      </c>
      <c r="V49" s="467">
        <f>V93</f>
        <v>2.7702943612371849</v>
      </c>
      <c r="W49" s="623" t="s">
        <v>367</v>
      </c>
      <c r="AC49" s="5"/>
      <c r="AF49" s="5"/>
    </row>
    <row r="50" spans="2:32" x14ac:dyDescent="0.2">
      <c r="B50" s="622" t="s">
        <v>315</v>
      </c>
      <c r="C50" s="472" t="s">
        <v>311</v>
      </c>
      <c r="D50" s="465">
        <f>D21-D48</f>
        <v>7.6771907921246303</v>
      </c>
      <c r="E50" s="623" t="s">
        <v>177</v>
      </c>
      <c r="K50" s="622" t="s">
        <v>315</v>
      </c>
      <c r="L50" s="472" t="s">
        <v>312</v>
      </c>
      <c r="M50" s="465">
        <f>M21-M48</f>
        <v>24.611141541898213</v>
      </c>
      <c r="N50" s="623" t="s">
        <v>177</v>
      </c>
      <c r="T50" s="622" t="s">
        <v>315</v>
      </c>
      <c r="U50" s="472" t="s">
        <v>313</v>
      </c>
      <c r="V50" s="465">
        <f>V21-V48</f>
        <v>80.000000000034433</v>
      </c>
      <c r="W50" s="623" t="s">
        <v>177</v>
      </c>
      <c r="AC50" s="5"/>
      <c r="AF50" s="5"/>
    </row>
    <row r="51" spans="2:32" x14ac:dyDescent="0.2">
      <c r="B51" s="622" t="s">
        <v>368</v>
      </c>
      <c r="C51" s="465" t="s">
        <v>369</v>
      </c>
      <c r="D51" s="616">
        <f>(D21*(D34*(273+D29))/(273*D21)*(D47+273))/((D29+273)*D50)</f>
        <v>9.7488159934552603E-6</v>
      </c>
      <c r="E51" s="623" t="s">
        <v>222</v>
      </c>
      <c r="K51" s="622" t="s">
        <v>370</v>
      </c>
      <c r="L51" s="465" t="s">
        <v>371</v>
      </c>
      <c r="M51" s="616">
        <f>(M21*(M34*(273+M29))/(273*M21)*(M47+273))/((M29+273)*M50)</f>
        <v>3.2010970680283943E-6</v>
      </c>
      <c r="N51" s="623" t="s">
        <v>222</v>
      </c>
      <c r="T51" s="622" t="s">
        <v>372</v>
      </c>
      <c r="U51" s="465" t="s">
        <v>373</v>
      </c>
      <c r="V51" s="616">
        <f>(V21*(V34*(273+V29))/(273*V21)*(V47+273))/((V29+273)*V50)</f>
        <v>1.0555644527142543E-6</v>
      </c>
      <c r="W51" s="623" t="s">
        <v>222</v>
      </c>
      <c r="AC51" s="5"/>
      <c r="AF51" s="5"/>
    </row>
    <row r="52" spans="2:32" x14ac:dyDescent="0.2">
      <c r="B52" s="622" t="s">
        <v>374</v>
      </c>
      <c r="C52" s="465"/>
      <c r="D52" s="616">
        <f>IF(D45="ja",(D39*D49*(D46-D47)),0)</f>
        <v>2.195469037857151E-2</v>
      </c>
      <c r="E52" s="623" t="s">
        <v>358</v>
      </c>
      <c r="K52" s="622" t="s">
        <v>374</v>
      </c>
      <c r="L52" s="465"/>
      <c r="M52" s="616">
        <f>IF(M45="ja",(M39*M49*(M46-M47)),0)</f>
        <v>1.0606537428156065E-2</v>
      </c>
      <c r="N52" s="623" t="s">
        <v>358</v>
      </c>
      <c r="T52" s="622" t="s">
        <v>374</v>
      </c>
      <c r="U52" s="465"/>
      <c r="V52" s="616">
        <f>IF(V45="ja",(V39*V49*(V46-V47)),0)</f>
        <v>1.2123647355685286E-2</v>
      </c>
      <c r="W52" s="623" t="s">
        <v>358</v>
      </c>
      <c r="AC52" s="5"/>
      <c r="AD52" s="5"/>
      <c r="AE52" s="168"/>
      <c r="AF52" s="5"/>
    </row>
    <row r="53" spans="2:32" x14ac:dyDescent="0.2">
      <c r="B53" s="622" t="s">
        <v>375</v>
      </c>
      <c r="C53" s="465"/>
      <c r="D53" s="475">
        <v>80</v>
      </c>
      <c r="E53" s="623" t="s">
        <v>77</v>
      </c>
      <c r="K53" s="622" t="s">
        <v>375</v>
      </c>
      <c r="L53" s="465"/>
      <c r="M53" s="475">
        <v>80</v>
      </c>
      <c r="N53" s="623" t="s">
        <v>77</v>
      </c>
      <c r="T53" s="622" t="s">
        <v>375</v>
      </c>
      <c r="U53" s="465"/>
      <c r="V53" s="475">
        <v>80</v>
      </c>
      <c r="W53" s="623" t="s">
        <v>77</v>
      </c>
      <c r="AC53" s="5"/>
      <c r="AD53" s="5"/>
      <c r="AE53" s="168"/>
      <c r="AF53" s="5"/>
    </row>
    <row r="54" spans="2:32" x14ac:dyDescent="0.2">
      <c r="B54" s="622" t="s">
        <v>376</v>
      </c>
      <c r="C54" s="465"/>
      <c r="D54" s="616">
        <f>100*D52/D53</f>
        <v>2.7443362973214386E-2</v>
      </c>
      <c r="E54" s="623" t="s">
        <v>358</v>
      </c>
      <c r="K54" s="622" t="s">
        <v>376</v>
      </c>
      <c r="L54" s="465"/>
      <c r="M54" s="616">
        <f>100*M52/M53</f>
        <v>1.3258171785195083E-2</v>
      </c>
      <c r="N54" s="623" t="s">
        <v>358</v>
      </c>
      <c r="T54" s="622" t="s">
        <v>376</v>
      </c>
      <c r="U54" s="465"/>
      <c r="V54" s="616">
        <f>100*V52/V53</f>
        <v>1.5154559194606607E-2</v>
      </c>
      <c r="W54" s="623" t="s">
        <v>358</v>
      </c>
      <c r="AC54" s="5"/>
      <c r="AD54" s="5"/>
      <c r="AE54" s="168"/>
      <c r="AF54" s="5"/>
    </row>
    <row r="55" spans="2:32" x14ac:dyDescent="0.2">
      <c r="B55" s="120"/>
      <c r="C55" s="2"/>
      <c r="D55" s="2"/>
      <c r="E55" s="121"/>
      <c r="K55" s="120"/>
      <c r="L55" s="2"/>
      <c r="M55" s="2"/>
      <c r="N55" s="121"/>
      <c r="T55" s="120"/>
      <c r="U55" s="2"/>
      <c r="V55" s="2"/>
      <c r="W55" s="121"/>
      <c r="AC55" s="5"/>
      <c r="AD55" s="5"/>
      <c r="AE55" s="5"/>
      <c r="AF55" s="5"/>
    </row>
    <row r="56" spans="2:32" x14ac:dyDescent="0.2">
      <c r="B56" s="863" t="s">
        <v>377</v>
      </c>
      <c r="C56" s="864"/>
      <c r="D56" s="864"/>
      <c r="E56" s="865"/>
      <c r="K56" s="863" t="s">
        <v>377</v>
      </c>
      <c r="L56" s="864"/>
      <c r="M56" s="864"/>
      <c r="N56" s="865"/>
      <c r="T56" s="863" t="s">
        <v>378</v>
      </c>
      <c r="U56" s="864"/>
      <c r="V56" s="864"/>
      <c r="W56" s="865"/>
      <c r="AC56" s="866"/>
      <c r="AD56" s="866"/>
      <c r="AE56" s="866"/>
      <c r="AF56" s="866"/>
    </row>
    <row r="57" spans="2:32" x14ac:dyDescent="0.2">
      <c r="B57" s="622" t="s">
        <v>379</v>
      </c>
      <c r="C57" s="465" t="s">
        <v>311</v>
      </c>
      <c r="D57" s="474">
        <f>IF(D45=AN16,D50,D21)</f>
        <v>7.6771907921246303</v>
      </c>
      <c r="E57" s="623" t="s">
        <v>177</v>
      </c>
      <c r="K57" s="622" t="s">
        <v>379</v>
      </c>
      <c r="L57" s="465" t="s">
        <v>312</v>
      </c>
      <c r="M57" s="474">
        <f>IF(M45=AN16,M50,M21)</f>
        <v>24.611141541898213</v>
      </c>
      <c r="N57" s="623" t="s">
        <v>177</v>
      </c>
      <c r="T57" s="622" t="s">
        <v>379</v>
      </c>
      <c r="U57" s="465" t="s">
        <v>313</v>
      </c>
      <c r="V57" s="474">
        <f>IF(V45=AN16,V50,V21)</f>
        <v>80.000000000034433</v>
      </c>
      <c r="W57" s="623" t="s">
        <v>177</v>
      </c>
      <c r="AC57" s="5"/>
      <c r="AD57" s="5"/>
      <c r="AE57" s="168"/>
      <c r="AF57" s="5"/>
    </row>
    <row r="58" spans="2:32" x14ac:dyDescent="0.2">
      <c r="B58" s="622" t="s">
        <v>275</v>
      </c>
      <c r="C58" s="465" t="s">
        <v>323</v>
      </c>
      <c r="D58" s="468">
        <f>IF(D45=AN16,D47,D29)</f>
        <v>31</v>
      </c>
      <c r="E58" s="623" t="s">
        <v>7</v>
      </c>
      <c r="K58" s="622" t="s">
        <v>275</v>
      </c>
      <c r="L58" s="465" t="s">
        <v>324</v>
      </c>
      <c r="M58" s="468">
        <f>IF(M45=AN16,M47,M29)</f>
        <v>47</v>
      </c>
      <c r="N58" s="623" t="s">
        <v>7</v>
      </c>
      <c r="T58" s="622" t="s">
        <v>275</v>
      </c>
      <c r="U58" s="465" t="s">
        <v>325</v>
      </c>
      <c r="V58" s="468">
        <f>IF(V45=AN16,V47,V29)</f>
        <v>70</v>
      </c>
      <c r="W58" s="623" t="s">
        <v>7</v>
      </c>
      <c r="AC58" s="5"/>
      <c r="AD58" s="5"/>
      <c r="AE58" s="167"/>
      <c r="AF58" s="5"/>
    </row>
    <row r="59" spans="2:32" ht="16" thickBot="1" x14ac:dyDescent="0.25">
      <c r="B59" s="636" t="s">
        <v>276</v>
      </c>
      <c r="C59" s="637" t="s">
        <v>369</v>
      </c>
      <c r="D59" s="638">
        <f>IF(D45=AN16,D51,(D34*(273+D29))/(273*D21))</f>
        <v>9.7488159934552603E-6</v>
      </c>
      <c r="E59" s="639" t="s">
        <v>222</v>
      </c>
      <c r="K59" s="636" t="s">
        <v>276</v>
      </c>
      <c r="L59" s="637" t="s">
        <v>371</v>
      </c>
      <c r="M59" s="638">
        <f>IF(M45=AN16,M51,(M34*(273+M29))/(273*M21))</f>
        <v>3.2010970680283943E-6</v>
      </c>
      <c r="N59" s="639" t="s">
        <v>222</v>
      </c>
      <c r="T59" s="636" t="s">
        <v>276</v>
      </c>
      <c r="U59" s="637" t="s">
        <v>373</v>
      </c>
      <c r="V59" s="638">
        <f>IF(V45=AN16,V51,(V34*(273+V29))/(273*V21))</f>
        <v>1.0555644527142543E-6</v>
      </c>
      <c r="W59" s="639" t="s">
        <v>222</v>
      </c>
      <c r="AC59" s="5"/>
      <c r="AD59" s="5"/>
      <c r="AE59" s="389"/>
      <c r="AF59" s="5"/>
    </row>
    <row r="60" spans="2:32" x14ac:dyDescent="0.2">
      <c r="D60" s="617"/>
      <c r="AC60" s="5"/>
      <c r="AD60" s="5"/>
      <c r="AE60" s="5"/>
      <c r="AF60" s="5"/>
    </row>
    <row r="61" spans="2:32" x14ac:dyDescent="0.2">
      <c r="AC61" s="5"/>
      <c r="AD61" s="5"/>
      <c r="AE61" s="5"/>
      <c r="AF61" s="5"/>
    </row>
    <row r="63" spans="2:32" ht="23.5" customHeight="1" x14ac:dyDescent="0.2"/>
    <row r="67" spans="2:23" x14ac:dyDescent="0.2">
      <c r="B67" s="476"/>
    </row>
    <row r="80" spans="2:23" x14ac:dyDescent="0.2">
      <c r="T80" s="222"/>
      <c r="U80" s="526"/>
      <c r="V80" s="527"/>
      <c r="W80" s="528"/>
    </row>
    <row r="81" spans="2:23" x14ac:dyDescent="0.2">
      <c r="T81" s="222"/>
      <c r="U81" s="526"/>
      <c r="V81" s="527"/>
      <c r="W81" s="528"/>
    </row>
    <row r="86" spans="2:23" ht="17" x14ac:dyDescent="0.25">
      <c r="B86" s="465" t="s">
        <v>381</v>
      </c>
      <c r="C86" s="469" t="s">
        <v>382</v>
      </c>
      <c r="D86" s="466">
        <f>(100000/(D22*293))*(D24/1000)</f>
        <v>0.65877289174192855</v>
      </c>
      <c r="E86" s="465" t="s">
        <v>383</v>
      </c>
      <c r="K86" s="465" t="s">
        <v>381</v>
      </c>
      <c r="L86" s="469" t="s">
        <v>382</v>
      </c>
      <c r="M86" s="466">
        <f>(100000/(M22*293))*(M24/1000)</f>
        <v>0.65877289174192855</v>
      </c>
      <c r="N86" s="465" t="s">
        <v>383</v>
      </c>
      <c r="T86" s="465" t="s">
        <v>381</v>
      </c>
      <c r="U86" s="469" t="s">
        <v>382</v>
      </c>
      <c r="V86" s="466">
        <f>(100000/(V22*293))*(V24/1000)</f>
        <v>0.65877289174192855</v>
      </c>
      <c r="W86" s="465" t="s">
        <v>383</v>
      </c>
    </row>
    <row r="87" spans="2:23" ht="17" x14ac:dyDescent="0.25">
      <c r="B87" s="465" t="s">
        <v>384</v>
      </c>
      <c r="C87" s="480" t="s">
        <v>385</v>
      </c>
      <c r="D87" s="466">
        <f>156.24*(0.564+D86)</f>
        <v>191.04603660575893</v>
      </c>
      <c r="E87" s="465" t="s">
        <v>33</v>
      </c>
      <c r="K87" s="465" t="s">
        <v>384</v>
      </c>
      <c r="L87" s="480" t="s">
        <v>385</v>
      </c>
      <c r="M87" s="466">
        <f>156.24*(0.564+M86)</f>
        <v>191.04603660575893</v>
      </c>
      <c r="N87" s="465" t="s">
        <v>33</v>
      </c>
      <c r="T87" s="465" t="s">
        <v>384</v>
      </c>
      <c r="U87" s="480" t="s">
        <v>385</v>
      </c>
      <c r="V87" s="466">
        <f>156.24*(0.564+V86)</f>
        <v>191.04603660575893</v>
      </c>
      <c r="W87" s="465" t="s">
        <v>33</v>
      </c>
    </row>
    <row r="88" spans="2:23" ht="17" x14ac:dyDescent="0.25">
      <c r="B88" s="465" t="s">
        <v>386</v>
      </c>
      <c r="C88" s="481" t="s">
        <v>387</v>
      </c>
      <c r="D88" s="466">
        <f>(D25+273+D29+273)/(2*D87)</f>
        <v>2.251778078230819</v>
      </c>
      <c r="E88" s="465"/>
      <c r="K88" s="465" t="s">
        <v>386</v>
      </c>
      <c r="L88" s="481" t="s">
        <v>387</v>
      </c>
      <c r="M88" s="466">
        <f>(M25+273+M29+273)/(2*M87)</f>
        <v>1.8773948853538449</v>
      </c>
      <c r="N88" s="465"/>
      <c r="T88" s="465" t="s">
        <v>386</v>
      </c>
      <c r="U88" s="481" t="s">
        <v>387</v>
      </c>
      <c r="V88" s="466">
        <f>(V25+273+V29+273)/(2*V87)</f>
        <v>1.9762051424777303</v>
      </c>
      <c r="W88" s="465"/>
    </row>
    <row r="89" spans="2:23" ht="17" x14ac:dyDescent="0.25">
      <c r="B89" s="465" t="s">
        <v>388</v>
      </c>
      <c r="C89" s="481" t="s">
        <v>389</v>
      </c>
      <c r="D89" s="466">
        <f>10*0.1773*(26.831-D86)</f>
        <v>46.403358662941564</v>
      </c>
      <c r="E89" s="465" t="s">
        <v>177</v>
      </c>
      <c r="K89" s="465" t="s">
        <v>388</v>
      </c>
      <c r="L89" s="481" t="s">
        <v>389</v>
      </c>
      <c r="M89" s="466">
        <f>10*0.1773*(26.831-M86)</f>
        <v>46.403358662941564</v>
      </c>
      <c r="N89" s="465" t="s">
        <v>177</v>
      </c>
      <c r="T89" s="465" t="s">
        <v>388</v>
      </c>
      <c r="U89" s="481" t="s">
        <v>389</v>
      </c>
      <c r="V89" s="466">
        <f>10*0.1773*(26.831-V86)</f>
        <v>46.403358662941564</v>
      </c>
      <c r="W89" s="465" t="s">
        <v>177</v>
      </c>
    </row>
    <row r="90" spans="2:23" ht="17" x14ac:dyDescent="0.25">
      <c r="B90" s="465" t="s">
        <v>390</v>
      </c>
      <c r="C90" s="481" t="s">
        <v>391</v>
      </c>
      <c r="D90" s="466">
        <f>(D19+D21)/(2*D89)</f>
        <v>0.11504760754151616</v>
      </c>
      <c r="E90" s="465"/>
      <c r="K90" s="465" t="s">
        <v>390</v>
      </c>
      <c r="L90" s="481" t="s">
        <v>391</v>
      </c>
      <c r="M90" s="466">
        <f>(M19+M21)/(2*M89)</f>
        <v>0.3532969733094784</v>
      </c>
      <c r="N90" s="465"/>
      <c r="T90" s="465" t="s">
        <v>390</v>
      </c>
      <c r="U90" s="481" t="s">
        <v>391</v>
      </c>
      <c r="V90" s="466">
        <f>(V19+V21)/(2*V89)</f>
        <v>1.1325811813044044</v>
      </c>
      <c r="W90" s="465"/>
    </row>
    <row r="91" spans="2:23" x14ac:dyDescent="0.2">
      <c r="B91" s="465"/>
      <c r="C91" s="480" t="s">
        <v>140</v>
      </c>
      <c r="D91" s="466">
        <f>1-1.68*D88+0.78*D88^2+0.0107*D88^3</f>
        <v>1.2941752139103877</v>
      </c>
      <c r="E91" s="465"/>
      <c r="K91" s="465"/>
      <c r="L91" s="480" t="s">
        <v>140</v>
      </c>
      <c r="M91" s="466">
        <f>1-1.68*M88+0.78*M88^2+0.0107*M88^3</f>
        <v>0.66597644440432224</v>
      </c>
      <c r="N91" s="465"/>
      <c r="T91" s="465"/>
      <c r="U91" s="480" t="s">
        <v>140</v>
      </c>
      <c r="V91" s="466">
        <f>1-1.68*V88+0.78*V88^2+0.0107*V88^3</f>
        <v>0.80875798333135729</v>
      </c>
      <c r="W91" s="465"/>
    </row>
    <row r="92" spans="2:23" x14ac:dyDescent="0.2">
      <c r="B92" s="465" t="s">
        <v>307</v>
      </c>
      <c r="C92" s="465" t="s">
        <v>308</v>
      </c>
      <c r="D92" s="482">
        <f>1-0.0241*(D90/D91)</f>
        <v>0.99785759508299277</v>
      </c>
      <c r="E92" s="465" t="s">
        <v>309</v>
      </c>
      <c r="K92" s="465" t="s">
        <v>307</v>
      </c>
      <c r="L92" s="465" t="s">
        <v>308</v>
      </c>
      <c r="M92" s="482">
        <f>1-0.0241*(M90/M91)</f>
        <v>0.9872150777579316</v>
      </c>
      <c r="N92" s="465" t="s">
        <v>309</v>
      </c>
      <c r="T92" s="465" t="s">
        <v>307</v>
      </c>
      <c r="U92" s="465" t="s">
        <v>308</v>
      </c>
      <c r="V92" s="482">
        <f>1-0.0241*(V90/V91)</f>
        <v>0.96625046425260075</v>
      </c>
      <c r="W92" s="465" t="s">
        <v>309</v>
      </c>
    </row>
    <row r="93" spans="2:23" x14ac:dyDescent="0.2">
      <c r="B93" s="465" t="s">
        <v>365</v>
      </c>
      <c r="C93" s="472" t="s">
        <v>366</v>
      </c>
      <c r="D93" s="466">
        <f>(0.00344-0.00009*D21)*((D46-D47)/2)+0.011*D21+2.06</f>
        <v>2.4092190796411903</v>
      </c>
      <c r="E93" s="465" t="s">
        <v>392</v>
      </c>
      <c r="K93" s="465" t="s">
        <v>365</v>
      </c>
      <c r="L93" s="472" t="s">
        <v>366</v>
      </c>
      <c r="M93" s="466">
        <f>(0.00344-0.00009*M21)*((M46-M47)/2)+0.011*M21+2.06</f>
        <v>2.3912916744947044</v>
      </c>
      <c r="N93" s="465" t="s">
        <v>392</v>
      </c>
      <c r="T93" s="465" t="s">
        <v>365</v>
      </c>
      <c r="U93" s="472" t="s">
        <v>366</v>
      </c>
      <c r="V93" s="466">
        <f>(0.00344-0.00009*V21)*((V46-V47)/2)+0.011*V21+2.06</f>
        <v>2.7702943612371849</v>
      </c>
      <c r="W93" s="465" t="s">
        <v>392</v>
      </c>
    </row>
  </sheetData>
  <mergeCells count="5">
    <mergeCell ref="B56:E56"/>
    <mergeCell ref="K56:N56"/>
    <mergeCell ref="T56:W56"/>
    <mergeCell ref="AC56:AF56"/>
    <mergeCell ref="B4:N13"/>
  </mergeCells>
  <dataValidations count="1">
    <dataValidation type="list" allowBlank="1" showInputMessage="1" showErrorMessage="1" sqref="AR27 D45 M45 V45" xr:uid="{00000000-0002-0000-1100-000000000000}">
      <formula1>Intercooler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6"/>
  <dimension ref="B1:AN123"/>
  <sheetViews>
    <sheetView zoomScale="95" zoomScaleNormal="95" workbookViewId="0">
      <selection activeCell="L3" sqref="L3"/>
    </sheetView>
  </sheetViews>
  <sheetFormatPr baseColWidth="10" defaultColWidth="8.83203125" defaultRowHeight="15" x14ac:dyDescent="0.2"/>
  <cols>
    <col min="1" max="1" width="1.6640625" customWidth="1"/>
    <col min="2" max="2" width="8.83203125" customWidth="1"/>
    <col min="5" max="5" width="5.83203125" customWidth="1"/>
    <col min="6" max="6" width="1" customWidth="1"/>
    <col min="7" max="7" width="9.33203125" customWidth="1"/>
    <col min="9" max="9" width="9.5" bestFit="1" customWidth="1"/>
    <col min="10" max="10" width="5.1640625" bestFit="1" customWidth="1"/>
    <col min="11" max="11" width="1.83203125" customWidth="1"/>
    <col min="12" max="12" width="8.83203125" customWidth="1"/>
    <col min="15" max="15" width="5.1640625" bestFit="1" customWidth="1"/>
    <col min="16" max="16" width="1.1640625" customWidth="1"/>
    <col min="17" max="17" width="8.83203125" customWidth="1"/>
    <col min="18" max="18" width="9.5" customWidth="1"/>
    <col min="19" max="19" width="10" bestFit="1" customWidth="1"/>
    <col min="20" max="20" width="5.1640625" bestFit="1" customWidth="1"/>
    <col min="21" max="21" width="2" customWidth="1"/>
    <col min="25" max="25" width="5.6640625" bestFit="1" customWidth="1"/>
    <col min="26" max="26" width="1.33203125" customWidth="1"/>
    <col min="30" max="30" width="5.1640625" bestFit="1" customWidth="1"/>
    <col min="31" max="31" width="2.83203125" customWidth="1"/>
    <col min="36" max="36" width="1.5" customWidth="1"/>
  </cols>
  <sheetData>
    <row r="1" spans="2:40" ht="16" thickBot="1" x14ac:dyDescent="0.25"/>
    <row r="2" spans="2:40" ht="16" thickBot="1" x14ac:dyDescent="0.25">
      <c r="B2" s="40" t="s">
        <v>110</v>
      </c>
      <c r="C2" s="41"/>
      <c r="D2" s="41"/>
      <c r="E2" s="41"/>
      <c r="F2" s="41"/>
      <c r="G2" s="41"/>
      <c r="H2" s="41"/>
      <c r="I2" s="41"/>
      <c r="J2" s="42"/>
      <c r="L2" s="40" t="s">
        <v>521</v>
      </c>
      <c r="M2" s="41"/>
      <c r="N2" s="41"/>
      <c r="O2" s="41"/>
      <c r="P2" s="41"/>
      <c r="Q2" s="41"/>
      <c r="R2" s="41"/>
      <c r="S2" s="41"/>
      <c r="T2" s="42"/>
      <c r="V2" s="40" t="s">
        <v>519</v>
      </c>
      <c r="W2" s="41"/>
      <c r="X2" s="41"/>
      <c r="Y2" s="41"/>
      <c r="Z2" s="41"/>
      <c r="AA2" s="41"/>
      <c r="AB2" s="41"/>
      <c r="AC2" s="41"/>
      <c r="AD2" s="42"/>
      <c r="AF2" s="40" t="s">
        <v>520</v>
      </c>
      <c r="AG2" s="41"/>
      <c r="AH2" s="41"/>
      <c r="AI2" s="41"/>
      <c r="AJ2" s="41"/>
      <c r="AK2" s="41"/>
      <c r="AL2" s="41"/>
      <c r="AM2" s="41"/>
      <c r="AN2" s="42"/>
    </row>
    <row r="3" spans="2:40" ht="16" thickBot="1" x14ac:dyDescent="0.25"/>
    <row r="4" spans="2:40" x14ac:dyDescent="0.2">
      <c r="B4" s="28" t="s">
        <v>35</v>
      </c>
      <c r="C4" s="29"/>
      <c r="D4" s="29">
        <f>'HE1'!E6</f>
        <v>28.97</v>
      </c>
      <c r="E4" s="29" t="s">
        <v>2</v>
      </c>
      <c r="F4" s="29"/>
      <c r="G4" s="28" t="s">
        <v>37</v>
      </c>
      <c r="H4" s="29"/>
      <c r="I4" s="30">
        <f>D4/(D4+D5)</f>
        <v>1</v>
      </c>
      <c r="J4" s="31"/>
      <c r="L4" s="243" t="s">
        <v>35</v>
      </c>
      <c r="M4" s="134"/>
      <c r="N4" s="244">
        <f>'HE2'!I6</f>
        <v>28.97</v>
      </c>
      <c r="O4" s="134" t="s">
        <v>2</v>
      </c>
      <c r="P4" s="134"/>
      <c r="Q4" s="243" t="s">
        <v>37</v>
      </c>
      <c r="R4" s="134"/>
      <c r="S4" s="244">
        <f>N4/(N4+N5)</f>
        <v>0.71549293882315568</v>
      </c>
      <c r="T4" s="136"/>
      <c r="V4" s="243" t="s">
        <v>35</v>
      </c>
      <c r="W4" s="134"/>
      <c r="X4" s="244">
        <f>'HE4'!I7</f>
        <v>28.97</v>
      </c>
      <c r="Y4" s="134" t="s">
        <v>2</v>
      </c>
      <c r="Z4" s="134"/>
      <c r="AA4" s="243" t="s">
        <v>37</v>
      </c>
      <c r="AB4" s="134"/>
      <c r="AC4" s="244">
        <f>X4/(X4+X5)</f>
        <v>0.71549293882315568</v>
      </c>
      <c r="AD4" s="136"/>
      <c r="AF4" s="28" t="s">
        <v>35</v>
      </c>
      <c r="AG4" s="29"/>
      <c r="AH4" s="30">
        <f>'HE1'!E6</f>
        <v>28.97</v>
      </c>
      <c r="AI4" s="29" t="s">
        <v>2</v>
      </c>
      <c r="AJ4" s="29"/>
      <c r="AK4" s="28" t="s">
        <v>37</v>
      </c>
      <c r="AL4" s="29"/>
      <c r="AM4" s="30">
        <f>AH4/(AH4+AH5)</f>
        <v>1</v>
      </c>
      <c r="AN4" s="31"/>
    </row>
    <row r="5" spans="2:40" x14ac:dyDescent="0.2">
      <c r="B5" s="32" t="s">
        <v>36</v>
      </c>
      <c r="C5" s="33"/>
      <c r="D5" s="33">
        <v>0</v>
      </c>
      <c r="E5" s="33" t="s">
        <v>2</v>
      </c>
      <c r="F5" s="33"/>
      <c r="G5" s="32" t="s">
        <v>38</v>
      </c>
      <c r="H5" s="33"/>
      <c r="I5" s="34">
        <f>D5/(D4+D5)</f>
        <v>0</v>
      </c>
      <c r="J5" s="35"/>
      <c r="L5" s="137" t="s">
        <v>36</v>
      </c>
      <c r="M5" s="138"/>
      <c r="N5" s="245">
        <f>'HE2'!I7</f>
        <v>11.519568</v>
      </c>
      <c r="O5" s="138" t="s">
        <v>2</v>
      </c>
      <c r="P5" s="138"/>
      <c r="Q5" s="137" t="s">
        <v>38</v>
      </c>
      <c r="R5" s="138"/>
      <c r="S5" s="245">
        <f>N5/(N4+N5)</f>
        <v>0.28450706117684438</v>
      </c>
      <c r="T5" s="140"/>
      <c r="V5" s="137" t="s">
        <v>36</v>
      </c>
      <c r="W5" s="138"/>
      <c r="X5" s="245">
        <f>'HE4'!I6</f>
        <v>11.519568</v>
      </c>
      <c r="Y5" s="138" t="s">
        <v>2</v>
      </c>
      <c r="Z5" s="138"/>
      <c r="AA5" s="137" t="s">
        <v>38</v>
      </c>
      <c r="AB5" s="138"/>
      <c r="AC5" s="245">
        <f>X5/(X4+X5)</f>
        <v>0.28450706117684438</v>
      </c>
      <c r="AD5" s="140"/>
      <c r="AF5" s="32" t="s">
        <v>36</v>
      </c>
      <c r="AG5" s="33"/>
      <c r="AH5" s="613">
        <v>0</v>
      </c>
      <c r="AI5" s="33" t="s">
        <v>2</v>
      </c>
      <c r="AJ5" s="33"/>
      <c r="AK5" s="32" t="s">
        <v>38</v>
      </c>
      <c r="AL5" s="33"/>
      <c r="AM5" s="34">
        <f>AH5/(AH4+AH5)</f>
        <v>0</v>
      </c>
      <c r="AN5" s="35"/>
    </row>
    <row r="6" spans="2:40" x14ac:dyDescent="0.2">
      <c r="B6" s="32"/>
      <c r="C6" s="33"/>
      <c r="D6" s="33"/>
      <c r="E6" s="33"/>
      <c r="F6" s="33"/>
      <c r="G6" s="32"/>
      <c r="H6" s="33"/>
      <c r="I6" s="34"/>
      <c r="J6" s="35"/>
      <c r="L6" s="137"/>
      <c r="M6" s="138"/>
      <c r="N6" s="138"/>
      <c r="O6" s="138"/>
      <c r="P6" s="138"/>
      <c r="Q6" s="137"/>
      <c r="R6" s="138"/>
      <c r="S6" s="245"/>
      <c r="T6" s="140"/>
      <c r="V6" s="137"/>
      <c r="W6" s="138"/>
      <c r="X6" s="138"/>
      <c r="Y6" s="138"/>
      <c r="Z6" s="138"/>
      <c r="AA6" s="137"/>
      <c r="AB6" s="138"/>
      <c r="AC6" s="245"/>
      <c r="AD6" s="140"/>
      <c r="AF6" s="32"/>
      <c r="AG6" s="33"/>
      <c r="AH6" s="33"/>
      <c r="AI6" s="33"/>
      <c r="AJ6" s="33"/>
      <c r="AK6" s="32"/>
      <c r="AL6" s="33"/>
      <c r="AM6" s="34"/>
      <c r="AN6" s="35"/>
    </row>
    <row r="7" spans="2:40" ht="16" thickBot="1" x14ac:dyDescent="0.25">
      <c r="B7" s="36" t="s">
        <v>39</v>
      </c>
      <c r="C7" s="37"/>
      <c r="D7" s="37">
        <f>'HE1'!E14</f>
        <v>21</v>
      </c>
      <c r="E7" s="37" t="s">
        <v>7</v>
      </c>
      <c r="F7" s="37"/>
      <c r="G7" s="36" t="s">
        <v>40</v>
      </c>
      <c r="H7" s="37"/>
      <c r="I7" s="38">
        <f>I4*I48+I5*D48</f>
        <v>1006</v>
      </c>
      <c r="J7" s="39" t="s">
        <v>0</v>
      </c>
      <c r="L7" s="246" t="s">
        <v>39</v>
      </c>
      <c r="M7" s="247"/>
      <c r="N7" s="247">
        <f>'HE2'!I14</f>
        <v>725</v>
      </c>
      <c r="O7" s="247" t="s">
        <v>7</v>
      </c>
      <c r="P7" s="247"/>
      <c r="Q7" s="246" t="s">
        <v>41</v>
      </c>
      <c r="R7" s="247"/>
      <c r="S7" s="249">
        <f>S4*S48+S5*N48</f>
        <v>1125.4117173648283</v>
      </c>
      <c r="T7" s="250" t="s">
        <v>0</v>
      </c>
      <c r="V7" s="246" t="s">
        <v>39</v>
      </c>
      <c r="W7" s="247"/>
      <c r="X7" s="248">
        <f>'HE4'!I14</f>
        <v>341.31963464747065</v>
      </c>
      <c r="Y7" s="247" t="s">
        <v>7</v>
      </c>
      <c r="Z7" s="247"/>
      <c r="AA7" s="246" t="s">
        <v>40</v>
      </c>
      <c r="AB7" s="247"/>
      <c r="AC7" s="249">
        <f>AC4*AC48+AC5*X48</f>
        <v>1040.9433348657315</v>
      </c>
      <c r="AD7" s="250" t="s">
        <v>0</v>
      </c>
      <c r="AF7" s="36" t="s">
        <v>39</v>
      </c>
      <c r="AG7" s="37"/>
      <c r="AH7" s="516">
        <f>'HE1'!E20</f>
        <v>657.55114015409561</v>
      </c>
      <c r="AI7" s="37" t="s">
        <v>7</v>
      </c>
      <c r="AJ7" s="37"/>
      <c r="AK7" s="36" t="s">
        <v>40</v>
      </c>
      <c r="AL7" s="37"/>
      <c r="AM7" s="38">
        <f>AM4*AM48+AM5*AH48</f>
        <v>1126.8047166292781</v>
      </c>
      <c r="AN7" s="39" t="s">
        <v>0</v>
      </c>
    </row>
    <row r="8" spans="2:40" ht="16" thickBot="1" x14ac:dyDescent="0.25"/>
    <row r="9" spans="2:40" x14ac:dyDescent="0.2">
      <c r="B9" s="13" t="s">
        <v>32</v>
      </c>
      <c r="C9" s="14"/>
      <c r="D9" s="14">
        <f>D7</f>
        <v>21</v>
      </c>
      <c r="E9" s="15" t="s">
        <v>7</v>
      </c>
      <c r="G9" s="13" t="s">
        <v>34</v>
      </c>
      <c r="H9" s="14"/>
      <c r="I9" s="14">
        <f>D7</f>
        <v>21</v>
      </c>
      <c r="J9" s="15" t="s">
        <v>7</v>
      </c>
      <c r="L9" s="13" t="s">
        <v>32</v>
      </c>
      <c r="M9" s="14"/>
      <c r="N9" s="14">
        <f>N7</f>
        <v>725</v>
      </c>
      <c r="O9" s="15" t="s">
        <v>7</v>
      </c>
      <c r="Q9" s="13" t="s">
        <v>34</v>
      </c>
      <c r="R9" s="14"/>
      <c r="S9" s="14">
        <f>N7</f>
        <v>725</v>
      </c>
      <c r="T9" s="15" t="s">
        <v>7</v>
      </c>
      <c r="V9" s="13" t="s">
        <v>32</v>
      </c>
      <c r="W9" s="14"/>
      <c r="X9" s="14">
        <f>X7</f>
        <v>341.31963464747065</v>
      </c>
      <c r="Y9" s="15" t="s">
        <v>7</v>
      </c>
      <c r="AA9" s="13" t="s">
        <v>34</v>
      </c>
      <c r="AB9" s="14"/>
      <c r="AC9" s="14">
        <f>X7</f>
        <v>341.31963464747065</v>
      </c>
      <c r="AD9" s="15" t="s">
        <v>7</v>
      </c>
      <c r="AF9" s="13" t="s">
        <v>32</v>
      </c>
      <c r="AG9" s="14"/>
      <c r="AH9" s="14">
        <f>AH7</f>
        <v>657.55114015409561</v>
      </c>
      <c r="AI9" s="15" t="s">
        <v>7</v>
      </c>
      <c r="AK9" s="13" t="s">
        <v>34</v>
      </c>
      <c r="AL9" s="14"/>
      <c r="AM9" s="14">
        <f>AH7</f>
        <v>657.55114015409561</v>
      </c>
      <c r="AN9" s="15" t="s">
        <v>7</v>
      </c>
    </row>
    <row r="10" spans="2:40" ht="16" thickBot="1" x14ac:dyDescent="0.25">
      <c r="B10" s="22"/>
      <c r="C10" s="23"/>
      <c r="D10" s="23">
        <f>D9+273</f>
        <v>294</v>
      </c>
      <c r="E10" s="21" t="s">
        <v>33</v>
      </c>
      <c r="G10" s="22"/>
      <c r="H10" s="23"/>
      <c r="I10" s="23">
        <f>I9+273</f>
        <v>294</v>
      </c>
      <c r="J10" s="21" t="s">
        <v>33</v>
      </c>
      <c r="L10" s="22"/>
      <c r="M10" s="23"/>
      <c r="N10" s="23">
        <f>N9+273</f>
        <v>998</v>
      </c>
      <c r="O10" s="21" t="s">
        <v>33</v>
      </c>
      <c r="Q10" s="22"/>
      <c r="R10" s="23"/>
      <c r="S10" s="23">
        <f>S9+273</f>
        <v>998</v>
      </c>
      <c r="T10" s="21" t="s">
        <v>33</v>
      </c>
      <c r="V10" s="22"/>
      <c r="W10" s="23"/>
      <c r="X10" s="23">
        <f>X9+273</f>
        <v>614.31963464747059</v>
      </c>
      <c r="Y10" s="21" t="s">
        <v>33</v>
      </c>
      <c r="AA10" s="22"/>
      <c r="AB10" s="23"/>
      <c r="AC10" s="23">
        <f>AC9+273</f>
        <v>614.31963464747059</v>
      </c>
      <c r="AD10" s="21" t="s">
        <v>33</v>
      </c>
      <c r="AF10" s="22"/>
      <c r="AG10" s="23"/>
      <c r="AH10" s="23">
        <f>AH9+273</f>
        <v>930.55114015409561</v>
      </c>
      <c r="AI10" s="21" t="s">
        <v>33</v>
      </c>
      <c r="AK10" s="22"/>
      <c r="AL10" s="23"/>
      <c r="AM10" s="23">
        <f>AM9+273</f>
        <v>930.55114015409561</v>
      </c>
      <c r="AN10" s="21" t="s">
        <v>33</v>
      </c>
    </row>
    <row r="11" spans="2:40" x14ac:dyDescent="0.2">
      <c r="B11" s="52" t="s">
        <v>42</v>
      </c>
      <c r="C11" s="6" t="s">
        <v>43</v>
      </c>
      <c r="D11" s="6" t="s">
        <v>43</v>
      </c>
      <c r="E11" s="16"/>
      <c r="G11" s="52" t="s">
        <v>42</v>
      </c>
      <c r="H11" s="6" t="s">
        <v>44</v>
      </c>
      <c r="I11" s="6" t="s">
        <v>44</v>
      </c>
      <c r="J11" s="16"/>
      <c r="L11" s="52" t="s">
        <v>42</v>
      </c>
      <c r="M11" s="6" t="s">
        <v>43</v>
      </c>
      <c r="N11" s="6" t="s">
        <v>43</v>
      </c>
      <c r="O11" s="16"/>
      <c r="Q11" s="52" t="s">
        <v>42</v>
      </c>
      <c r="R11" s="6" t="s">
        <v>44</v>
      </c>
      <c r="S11" s="6" t="s">
        <v>44</v>
      </c>
      <c r="T11" s="16"/>
      <c r="V11" s="52" t="s">
        <v>42</v>
      </c>
      <c r="W11" s="6" t="s">
        <v>43</v>
      </c>
      <c r="X11" s="6" t="s">
        <v>43</v>
      </c>
      <c r="Y11" s="16"/>
      <c r="AA11" s="52" t="s">
        <v>42</v>
      </c>
      <c r="AB11" s="6" t="s">
        <v>44</v>
      </c>
      <c r="AC11" s="6" t="s">
        <v>44</v>
      </c>
      <c r="AD11" s="16"/>
      <c r="AF11" s="52" t="s">
        <v>42</v>
      </c>
      <c r="AG11" s="6" t="s">
        <v>43</v>
      </c>
      <c r="AH11" s="6" t="s">
        <v>43</v>
      </c>
      <c r="AI11" s="16"/>
      <c r="AK11" s="52" t="s">
        <v>42</v>
      </c>
      <c r="AL11" s="6" t="s">
        <v>44</v>
      </c>
      <c r="AM11" s="6" t="s">
        <v>44</v>
      </c>
      <c r="AN11" s="16"/>
    </row>
    <row r="12" spans="2:40" x14ac:dyDescent="0.2">
      <c r="B12" s="17">
        <v>175</v>
      </c>
      <c r="C12" s="10">
        <v>0.91</v>
      </c>
      <c r="D12" s="11">
        <f>IF(($D$10&gt;=B12)*AND($D$10&lt;B13),(((($D$10-B12)/(B13-B12))*(C13-C12))+C12),0)</f>
        <v>0</v>
      </c>
      <c r="E12" s="16"/>
      <c r="G12" s="27">
        <v>60</v>
      </c>
      <c r="H12" s="26">
        <v>1901</v>
      </c>
      <c r="I12" s="43">
        <f>IF(($I$10&gt;=G12)*AND($I$10&lt;G13),(((($I$10-G12)/(G13-G12))*(H13-H12))+H12),0)</f>
        <v>0</v>
      </c>
      <c r="J12" s="16"/>
      <c r="L12" s="17">
        <v>175</v>
      </c>
      <c r="M12" s="10">
        <v>0.91</v>
      </c>
      <c r="N12" s="11">
        <f>IF(($N$10&gt;=L12)*AND($N$10&lt;L13),(((($N$10-L12)/(L13-L12))*(M13-M12))+M12),0)</f>
        <v>0</v>
      </c>
      <c r="O12" s="16"/>
      <c r="Q12" s="27">
        <v>60</v>
      </c>
      <c r="R12" s="26">
        <v>1901</v>
      </c>
      <c r="S12" s="43">
        <f>IF(($S$10&gt;=Q12)*AND($S$10&lt;Q13),(((($S$10-Q12)/(Q13-Q12))*(R13-R12))+R12),0)</f>
        <v>0</v>
      </c>
      <c r="T12" s="16"/>
      <c r="V12" s="17">
        <v>175</v>
      </c>
      <c r="W12" s="10">
        <v>0.91</v>
      </c>
      <c r="X12" s="11">
        <f>IF(($X$10&gt;=V12)*AND($X$10&lt;V13),(((($X$10-V12)/(V13-V12))*(W13-W12))+W12),0)</f>
        <v>0</v>
      </c>
      <c r="Y12" s="16"/>
      <c r="AA12" s="27">
        <v>60</v>
      </c>
      <c r="AB12" s="26">
        <v>1901</v>
      </c>
      <c r="AC12" s="43">
        <f>IF(($AC$10&gt;=AA12)*AND($AC$10&lt;AA13),(((($AC$10-AA12)/(AA13-AA12))*(AB13-AB12))+AB12),0)</f>
        <v>0</v>
      </c>
      <c r="AD12" s="16"/>
      <c r="AF12" s="17">
        <v>175</v>
      </c>
      <c r="AG12" s="10">
        <v>0.91</v>
      </c>
      <c r="AH12" s="11">
        <f>IF(($AH$10&gt;=AF12)*AND($AH$10&lt;AF13),(((($AH$10-AF12)/(AF13-AF12))*(AG13-AG12))+AG12),0)</f>
        <v>0</v>
      </c>
      <c r="AI12" s="16"/>
      <c r="AK12" s="27">
        <v>60</v>
      </c>
      <c r="AL12" s="26">
        <v>1901</v>
      </c>
      <c r="AM12" s="43">
        <f>IF(($AM$10&gt;=AK12)*AND($AM$10&lt;AK13),(((($AM$10-AK12)/(AK13-AK12))*(AL13-AL12))+AL12),0)</f>
        <v>0</v>
      </c>
      <c r="AN12" s="16"/>
    </row>
    <row r="13" spans="2:40" x14ac:dyDescent="0.2">
      <c r="B13" s="17">
        <v>200</v>
      </c>
      <c r="C13" s="10">
        <v>0.91</v>
      </c>
      <c r="D13" s="11">
        <f t="shared" ref="D13:D46" si="0">IF(($D$10&gt;=B13)*AND($D$10&lt;B14),(((($D$10-B13)/(B14-B13))*(C14-C13))+C13),0)</f>
        <v>0</v>
      </c>
      <c r="E13" s="16"/>
      <c r="G13" s="27">
        <v>78.790000000000006</v>
      </c>
      <c r="H13" s="26">
        <v>1933</v>
      </c>
      <c r="I13" s="43">
        <f t="shared" ref="I13:I40" si="1">IF(($I$10&gt;=G13)*AND($I$10&lt;G14),(((($I$10-G13)/(G14-G13))*(H14-H13))+H13),0)</f>
        <v>0</v>
      </c>
      <c r="J13" s="16"/>
      <c r="L13" s="17">
        <v>200</v>
      </c>
      <c r="M13" s="10">
        <v>0.91</v>
      </c>
      <c r="N13" s="11">
        <f t="shared" ref="N13:N46" si="2">IF(($N$10&gt;=L13)*AND($N$10&lt;L14),(((($N$10-L13)/(L14-L13))*(M14-M13))+M13),0)</f>
        <v>0</v>
      </c>
      <c r="O13" s="16"/>
      <c r="Q13" s="27">
        <v>78.790000000000006</v>
      </c>
      <c r="R13" s="26">
        <v>1933</v>
      </c>
      <c r="S13" s="43">
        <f t="shared" ref="S13:S40" si="3">IF(($S$10&gt;=Q13)*AND($S$10&lt;Q14),(((($S$10-Q13)/(Q14-Q13))*(R14-R13))+R13),0)</f>
        <v>0</v>
      </c>
      <c r="T13" s="16"/>
      <c r="V13" s="17">
        <v>200</v>
      </c>
      <c r="W13" s="10">
        <v>0.91</v>
      </c>
      <c r="X13" s="11">
        <f t="shared" ref="X13:X46" si="4">IF(($X$10&gt;=V13)*AND($X$10&lt;V14),(((($X$10-V13)/(V14-V13))*(W14-W13))+W13),0)</f>
        <v>0</v>
      </c>
      <c r="Y13" s="16"/>
      <c r="AA13" s="27">
        <v>78.790000000000006</v>
      </c>
      <c r="AB13" s="26">
        <v>1933</v>
      </c>
      <c r="AC13" s="43">
        <f t="shared" ref="AC13:AC40" si="5">IF(($AC$10&gt;=AA13)*AND($AC$10&lt;AA14),(((($AC$10-AA13)/(AA14-AA13))*(AB14-AB13))+AB13),0)</f>
        <v>0</v>
      </c>
      <c r="AD13" s="16"/>
      <c r="AF13" s="17">
        <v>200</v>
      </c>
      <c r="AG13" s="10">
        <v>0.91</v>
      </c>
      <c r="AH13" s="11">
        <f t="shared" ref="AH13:AH46" si="6">IF(($AH$10&gt;=AF13)*AND($AH$10&lt;AF14),(((($AH$10-AF13)/(AF14-AF13))*(AG14-AG13))+AG13),0)</f>
        <v>0</v>
      </c>
      <c r="AI13" s="16"/>
      <c r="AK13" s="27">
        <v>78.790000000000006</v>
      </c>
      <c r="AL13" s="26">
        <v>1933</v>
      </c>
      <c r="AM13" s="43">
        <f t="shared" ref="AM13:AM40" si="7">IF(($AM$10&gt;=AK13)*AND($AM$10&lt;AK14),(((($AM$10-AK13)/(AK14-AK13))*(AL14-AL13))+AL13),0)</f>
        <v>0</v>
      </c>
      <c r="AN13" s="16"/>
    </row>
    <row r="14" spans="2:40" x14ac:dyDescent="0.2">
      <c r="B14" s="17">
        <v>225</v>
      </c>
      <c r="C14" s="10">
        <v>0.91100000000000003</v>
      </c>
      <c r="D14" s="11">
        <f t="shared" si="0"/>
        <v>0</v>
      </c>
      <c r="E14" s="16"/>
      <c r="G14" s="27">
        <v>81.61</v>
      </c>
      <c r="H14" s="26">
        <v>1089</v>
      </c>
      <c r="I14" s="43">
        <f t="shared" si="1"/>
        <v>0</v>
      </c>
      <c r="J14" s="16"/>
      <c r="L14" s="17">
        <v>225</v>
      </c>
      <c r="M14" s="10">
        <v>0.91100000000000003</v>
      </c>
      <c r="N14" s="11">
        <f t="shared" si="2"/>
        <v>0</v>
      </c>
      <c r="O14" s="16"/>
      <c r="Q14" s="27">
        <v>81.61</v>
      </c>
      <c r="R14" s="26">
        <v>1089</v>
      </c>
      <c r="S14" s="43">
        <f t="shared" si="3"/>
        <v>0</v>
      </c>
      <c r="T14" s="16"/>
      <c r="V14" s="17">
        <v>225</v>
      </c>
      <c r="W14" s="10">
        <v>0.91100000000000003</v>
      </c>
      <c r="X14" s="11">
        <f t="shared" si="4"/>
        <v>0</v>
      </c>
      <c r="Y14" s="16"/>
      <c r="AA14" s="27">
        <v>81.61</v>
      </c>
      <c r="AB14" s="26">
        <v>1089</v>
      </c>
      <c r="AC14" s="43">
        <f t="shared" si="5"/>
        <v>0</v>
      </c>
      <c r="AD14" s="16"/>
      <c r="AF14" s="17">
        <v>225</v>
      </c>
      <c r="AG14" s="10">
        <v>0.91100000000000003</v>
      </c>
      <c r="AH14" s="11">
        <f t="shared" si="6"/>
        <v>0</v>
      </c>
      <c r="AI14" s="16"/>
      <c r="AK14" s="27">
        <v>81.61</v>
      </c>
      <c r="AL14" s="26">
        <v>1089</v>
      </c>
      <c r="AM14" s="43">
        <f t="shared" si="7"/>
        <v>0</v>
      </c>
      <c r="AN14" s="16"/>
    </row>
    <row r="15" spans="2:40" x14ac:dyDescent="0.2">
      <c r="B15" s="17">
        <v>250</v>
      </c>
      <c r="C15" s="10">
        <v>0.91300000000000003</v>
      </c>
      <c r="D15" s="11">
        <f t="shared" si="0"/>
        <v>0</v>
      </c>
      <c r="E15" s="16"/>
      <c r="G15" s="27">
        <v>100</v>
      </c>
      <c r="H15" s="26">
        <v>1040</v>
      </c>
      <c r="I15" s="43">
        <f t="shared" si="1"/>
        <v>0</v>
      </c>
      <c r="J15" s="16"/>
      <c r="L15" s="17">
        <v>250</v>
      </c>
      <c r="M15" s="10">
        <v>0.91300000000000003</v>
      </c>
      <c r="N15" s="11">
        <f t="shared" si="2"/>
        <v>0</v>
      </c>
      <c r="O15" s="16"/>
      <c r="Q15" s="27">
        <v>100</v>
      </c>
      <c r="R15" s="26">
        <v>1040</v>
      </c>
      <c r="S15" s="43">
        <f t="shared" si="3"/>
        <v>0</v>
      </c>
      <c r="T15" s="16"/>
      <c r="V15" s="17">
        <v>250</v>
      </c>
      <c r="W15" s="10">
        <v>0.91300000000000003</v>
      </c>
      <c r="X15" s="11">
        <f t="shared" si="4"/>
        <v>0</v>
      </c>
      <c r="Y15" s="16"/>
      <c r="AA15" s="27">
        <v>100</v>
      </c>
      <c r="AB15" s="26">
        <v>1040</v>
      </c>
      <c r="AC15" s="43">
        <f t="shared" si="5"/>
        <v>0</v>
      </c>
      <c r="AD15" s="16"/>
      <c r="AF15" s="17">
        <v>250</v>
      </c>
      <c r="AG15" s="10">
        <v>0.91300000000000003</v>
      </c>
      <c r="AH15" s="11">
        <f t="shared" si="6"/>
        <v>0</v>
      </c>
      <c r="AI15" s="16"/>
      <c r="AK15" s="27">
        <v>100</v>
      </c>
      <c r="AL15" s="26">
        <v>1040</v>
      </c>
      <c r="AM15" s="43">
        <f t="shared" si="7"/>
        <v>0</v>
      </c>
      <c r="AN15" s="16"/>
    </row>
    <row r="16" spans="2:40" x14ac:dyDescent="0.2">
      <c r="B16" s="17">
        <v>275</v>
      </c>
      <c r="C16" s="10">
        <v>0.91500000000000004</v>
      </c>
      <c r="D16" s="11">
        <f t="shared" si="0"/>
        <v>0.91727999999999998</v>
      </c>
      <c r="E16" s="16"/>
      <c r="G16" s="27">
        <v>120</v>
      </c>
      <c r="H16" s="26">
        <v>1022</v>
      </c>
      <c r="I16" s="43">
        <f t="shared" si="1"/>
        <v>0</v>
      </c>
      <c r="J16" s="16"/>
      <c r="L16" s="17">
        <v>275</v>
      </c>
      <c r="M16" s="10">
        <v>0.91500000000000004</v>
      </c>
      <c r="N16" s="11">
        <f t="shared" si="2"/>
        <v>0</v>
      </c>
      <c r="O16" s="16"/>
      <c r="Q16" s="27">
        <v>120</v>
      </c>
      <c r="R16" s="26">
        <v>1022</v>
      </c>
      <c r="S16" s="43">
        <f t="shared" si="3"/>
        <v>0</v>
      </c>
      <c r="T16" s="16"/>
      <c r="V16" s="17">
        <v>275</v>
      </c>
      <c r="W16" s="10">
        <v>0.91500000000000004</v>
      </c>
      <c r="X16" s="11">
        <f t="shared" si="4"/>
        <v>0</v>
      </c>
      <c r="Y16" s="16"/>
      <c r="AA16" s="27">
        <v>120</v>
      </c>
      <c r="AB16" s="26">
        <v>1022</v>
      </c>
      <c r="AC16" s="43">
        <f t="shared" si="5"/>
        <v>0</v>
      </c>
      <c r="AD16" s="16"/>
      <c r="AF16" s="17">
        <v>275</v>
      </c>
      <c r="AG16" s="10">
        <v>0.91500000000000004</v>
      </c>
      <c r="AH16" s="11">
        <f t="shared" si="6"/>
        <v>0</v>
      </c>
      <c r="AI16" s="16"/>
      <c r="AK16" s="27">
        <v>120</v>
      </c>
      <c r="AL16" s="26">
        <v>1022</v>
      </c>
      <c r="AM16" s="43">
        <f t="shared" si="7"/>
        <v>0</v>
      </c>
      <c r="AN16" s="16"/>
    </row>
    <row r="17" spans="2:40" x14ac:dyDescent="0.2">
      <c r="B17" s="17">
        <v>300</v>
      </c>
      <c r="C17" s="10">
        <v>0.91800000000000004</v>
      </c>
      <c r="D17" s="11">
        <f t="shared" si="0"/>
        <v>0</v>
      </c>
      <c r="E17" s="16"/>
      <c r="G17" s="27">
        <v>140</v>
      </c>
      <c r="H17" s="26">
        <v>1014</v>
      </c>
      <c r="I17" s="43">
        <f t="shared" si="1"/>
        <v>0</v>
      </c>
      <c r="J17" s="16"/>
      <c r="L17" s="17">
        <v>300</v>
      </c>
      <c r="M17" s="10">
        <v>0.91800000000000004</v>
      </c>
      <c r="N17" s="11">
        <f t="shared" si="2"/>
        <v>0</v>
      </c>
      <c r="O17" s="16"/>
      <c r="Q17" s="27">
        <v>140</v>
      </c>
      <c r="R17" s="26">
        <v>1014</v>
      </c>
      <c r="S17" s="43">
        <f t="shared" si="3"/>
        <v>0</v>
      </c>
      <c r="T17" s="16"/>
      <c r="V17" s="17">
        <v>300</v>
      </c>
      <c r="W17" s="10">
        <v>0.91800000000000004</v>
      </c>
      <c r="X17" s="11">
        <f t="shared" si="4"/>
        <v>0</v>
      </c>
      <c r="Y17" s="16"/>
      <c r="AA17" s="27">
        <v>140</v>
      </c>
      <c r="AB17" s="26">
        <v>1014</v>
      </c>
      <c r="AC17" s="43">
        <f t="shared" si="5"/>
        <v>0</v>
      </c>
      <c r="AD17" s="16"/>
      <c r="AF17" s="17">
        <v>300</v>
      </c>
      <c r="AG17" s="10">
        <v>0.91800000000000004</v>
      </c>
      <c r="AH17" s="11">
        <f t="shared" si="6"/>
        <v>0</v>
      </c>
      <c r="AI17" s="16"/>
      <c r="AK17" s="27">
        <v>140</v>
      </c>
      <c r="AL17" s="26">
        <v>1014</v>
      </c>
      <c r="AM17" s="43">
        <f t="shared" si="7"/>
        <v>0</v>
      </c>
      <c r="AN17" s="16"/>
    </row>
    <row r="18" spans="2:40" x14ac:dyDescent="0.2">
      <c r="B18" s="17">
        <v>325</v>
      </c>
      <c r="C18" s="10">
        <v>0.92300000000000004</v>
      </c>
      <c r="D18" s="11">
        <f t="shared" si="0"/>
        <v>0</v>
      </c>
      <c r="E18" s="16"/>
      <c r="G18" s="27">
        <v>160</v>
      </c>
      <c r="H18" s="26">
        <v>1011</v>
      </c>
      <c r="I18" s="43">
        <f t="shared" si="1"/>
        <v>0</v>
      </c>
      <c r="J18" s="16"/>
      <c r="L18" s="17">
        <v>325</v>
      </c>
      <c r="M18" s="10">
        <v>0.92300000000000004</v>
      </c>
      <c r="N18" s="11">
        <f t="shared" si="2"/>
        <v>0</v>
      </c>
      <c r="O18" s="16"/>
      <c r="Q18" s="27">
        <v>160</v>
      </c>
      <c r="R18" s="26">
        <v>1011</v>
      </c>
      <c r="S18" s="43">
        <f t="shared" si="3"/>
        <v>0</v>
      </c>
      <c r="T18" s="16"/>
      <c r="V18" s="17">
        <v>325</v>
      </c>
      <c r="W18" s="10">
        <v>0.92300000000000004</v>
      </c>
      <c r="X18" s="11">
        <f t="shared" si="4"/>
        <v>0</v>
      </c>
      <c r="Y18" s="16"/>
      <c r="AA18" s="27">
        <v>160</v>
      </c>
      <c r="AB18" s="26">
        <v>1011</v>
      </c>
      <c r="AC18" s="43">
        <f t="shared" si="5"/>
        <v>0</v>
      </c>
      <c r="AD18" s="16"/>
      <c r="AF18" s="17">
        <v>325</v>
      </c>
      <c r="AG18" s="10">
        <v>0.92300000000000004</v>
      </c>
      <c r="AH18" s="11">
        <f t="shared" si="6"/>
        <v>0</v>
      </c>
      <c r="AI18" s="16"/>
      <c r="AK18" s="27">
        <v>160</v>
      </c>
      <c r="AL18" s="26">
        <v>1011</v>
      </c>
      <c r="AM18" s="43">
        <f t="shared" si="7"/>
        <v>0</v>
      </c>
      <c r="AN18" s="16"/>
    </row>
    <row r="19" spans="2:40" x14ac:dyDescent="0.2">
      <c r="B19" s="17">
        <v>350</v>
      </c>
      <c r="C19" s="10">
        <v>0.92800000000000005</v>
      </c>
      <c r="D19" s="11">
        <f t="shared" si="0"/>
        <v>0</v>
      </c>
      <c r="E19" s="16"/>
      <c r="G19" s="27">
        <v>180</v>
      </c>
      <c r="H19" s="26">
        <v>1008</v>
      </c>
      <c r="I19" s="43">
        <f t="shared" si="1"/>
        <v>0</v>
      </c>
      <c r="J19" s="16"/>
      <c r="L19" s="17">
        <v>350</v>
      </c>
      <c r="M19" s="10">
        <v>0.92800000000000005</v>
      </c>
      <c r="N19" s="11">
        <f t="shared" si="2"/>
        <v>0</v>
      </c>
      <c r="O19" s="16"/>
      <c r="Q19" s="27">
        <v>180</v>
      </c>
      <c r="R19" s="26">
        <v>1008</v>
      </c>
      <c r="S19" s="43">
        <f t="shared" si="3"/>
        <v>0</v>
      </c>
      <c r="T19" s="16"/>
      <c r="V19" s="17">
        <v>350</v>
      </c>
      <c r="W19" s="10">
        <v>0.92800000000000005</v>
      </c>
      <c r="X19" s="11">
        <f t="shared" si="4"/>
        <v>0</v>
      </c>
      <c r="Y19" s="16"/>
      <c r="AA19" s="27">
        <v>180</v>
      </c>
      <c r="AB19" s="26">
        <v>1008</v>
      </c>
      <c r="AC19" s="43">
        <f t="shared" si="5"/>
        <v>0</v>
      </c>
      <c r="AD19" s="16"/>
      <c r="AF19" s="17">
        <v>350</v>
      </c>
      <c r="AG19" s="10">
        <v>0.92800000000000005</v>
      </c>
      <c r="AH19" s="11">
        <f t="shared" si="6"/>
        <v>0</v>
      </c>
      <c r="AI19" s="16"/>
      <c r="AK19" s="27">
        <v>180</v>
      </c>
      <c r="AL19" s="26">
        <v>1008</v>
      </c>
      <c r="AM19" s="43">
        <f t="shared" si="7"/>
        <v>0</v>
      </c>
      <c r="AN19" s="16"/>
    </row>
    <row r="20" spans="2:40" x14ac:dyDescent="0.2">
      <c r="B20" s="17">
        <v>375</v>
      </c>
      <c r="C20" s="10">
        <v>0.93400000000000005</v>
      </c>
      <c r="D20" s="11">
        <f t="shared" si="0"/>
        <v>0</v>
      </c>
      <c r="E20" s="16"/>
      <c r="G20" s="27">
        <v>200</v>
      </c>
      <c r="H20" s="26">
        <v>1007</v>
      </c>
      <c r="I20" s="43">
        <f t="shared" si="1"/>
        <v>0</v>
      </c>
      <c r="J20" s="16"/>
      <c r="L20" s="17">
        <v>375</v>
      </c>
      <c r="M20" s="10">
        <v>0.93400000000000005</v>
      </c>
      <c r="N20" s="11">
        <f t="shared" si="2"/>
        <v>0</v>
      </c>
      <c r="O20" s="16"/>
      <c r="Q20" s="27">
        <v>200</v>
      </c>
      <c r="R20" s="26">
        <v>1007</v>
      </c>
      <c r="S20" s="43">
        <f t="shared" si="3"/>
        <v>0</v>
      </c>
      <c r="T20" s="16"/>
      <c r="V20" s="17">
        <v>375</v>
      </c>
      <c r="W20" s="10">
        <v>0.93400000000000005</v>
      </c>
      <c r="X20" s="11">
        <f t="shared" si="4"/>
        <v>0</v>
      </c>
      <c r="Y20" s="16"/>
      <c r="AA20" s="27">
        <v>200</v>
      </c>
      <c r="AB20" s="26">
        <v>1007</v>
      </c>
      <c r="AC20" s="43">
        <f t="shared" si="5"/>
        <v>0</v>
      </c>
      <c r="AD20" s="16"/>
      <c r="AF20" s="17">
        <v>375</v>
      </c>
      <c r="AG20" s="10">
        <v>0.93400000000000005</v>
      </c>
      <c r="AH20" s="11">
        <f t="shared" si="6"/>
        <v>0</v>
      </c>
      <c r="AI20" s="16"/>
      <c r="AK20" s="27">
        <v>200</v>
      </c>
      <c r="AL20" s="26">
        <v>1007</v>
      </c>
      <c r="AM20" s="43">
        <f t="shared" si="7"/>
        <v>0</v>
      </c>
      <c r="AN20" s="16"/>
    </row>
    <row r="21" spans="2:40" x14ac:dyDescent="0.2">
      <c r="B21" s="17">
        <v>400</v>
      </c>
      <c r="C21" s="10">
        <v>0.94099999999999995</v>
      </c>
      <c r="D21" s="11">
        <f t="shared" si="0"/>
        <v>0</v>
      </c>
      <c r="E21" s="16"/>
      <c r="F21" s="7"/>
      <c r="G21" s="27">
        <v>220</v>
      </c>
      <c r="H21" s="26">
        <v>1006</v>
      </c>
      <c r="I21" s="43">
        <f t="shared" si="1"/>
        <v>0</v>
      </c>
      <c r="J21" s="16"/>
      <c r="L21" s="17">
        <v>400</v>
      </c>
      <c r="M21" s="10">
        <v>0.94099999999999995</v>
      </c>
      <c r="N21" s="11">
        <f t="shared" si="2"/>
        <v>0</v>
      </c>
      <c r="O21" s="16"/>
      <c r="P21" s="7"/>
      <c r="Q21" s="27">
        <v>220</v>
      </c>
      <c r="R21" s="26">
        <v>1006</v>
      </c>
      <c r="S21" s="43">
        <f t="shared" si="3"/>
        <v>0</v>
      </c>
      <c r="T21" s="16"/>
      <c r="V21" s="17">
        <v>400</v>
      </c>
      <c r="W21" s="10">
        <v>0.94099999999999995</v>
      </c>
      <c r="X21" s="11">
        <f t="shared" si="4"/>
        <v>0</v>
      </c>
      <c r="Y21" s="16"/>
      <c r="Z21" s="7"/>
      <c r="AA21" s="27">
        <v>220</v>
      </c>
      <c r="AB21" s="26">
        <v>1006</v>
      </c>
      <c r="AC21" s="43">
        <f t="shared" si="5"/>
        <v>0</v>
      </c>
      <c r="AD21" s="16"/>
      <c r="AF21" s="17">
        <v>400</v>
      </c>
      <c r="AG21" s="10">
        <v>0.94099999999999995</v>
      </c>
      <c r="AH21" s="11">
        <f t="shared" si="6"/>
        <v>0</v>
      </c>
      <c r="AI21" s="16"/>
      <c r="AJ21" s="7"/>
      <c r="AK21" s="27">
        <v>220</v>
      </c>
      <c r="AL21" s="26">
        <v>1006</v>
      </c>
      <c r="AM21" s="43">
        <f t="shared" si="7"/>
        <v>0</v>
      </c>
      <c r="AN21" s="16"/>
    </row>
    <row r="22" spans="2:40" x14ac:dyDescent="0.2">
      <c r="B22" s="17">
        <v>450</v>
      </c>
      <c r="C22" s="10">
        <v>0.95599999999999996</v>
      </c>
      <c r="D22" s="11">
        <f t="shared" si="0"/>
        <v>0</v>
      </c>
      <c r="E22" s="16"/>
      <c r="F22" s="7"/>
      <c r="G22" s="27">
        <v>240</v>
      </c>
      <c r="H22" s="26">
        <v>1006</v>
      </c>
      <c r="I22" s="43">
        <f t="shared" si="1"/>
        <v>0</v>
      </c>
      <c r="J22" s="16"/>
      <c r="L22" s="17">
        <v>450</v>
      </c>
      <c r="M22" s="10">
        <v>0.95599999999999996</v>
      </c>
      <c r="N22" s="11">
        <f t="shared" si="2"/>
        <v>0</v>
      </c>
      <c r="O22" s="16"/>
      <c r="P22" s="7"/>
      <c r="Q22" s="27">
        <v>240</v>
      </c>
      <c r="R22" s="26">
        <v>1006</v>
      </c>
      <c r="S22" s="43">
        <f t="shared" si="3"/>
        <v>0</v>
      </c>
      <c r="T22" s="16"/>
      <c r="V22" s="17">
        <v>450</v>
      </c>
      <c r="W22" s="10">
        <v>0.95599999999999996</v>
      </c>
      <c r="X22" s="11">
        <f t="shared" si="4"/>
        <v>0</v>
      </c>
      <c r="Y22" s="16"/>
      <c r="Z22" s="7"/>
      <c r="AA22" s="27">
        <v>240</v>
      </c>
      <c r="AB22" s="26">
        <v>1006</v>
      </c>
      <c r="AC22" s="43">
        <f t="shared" si="5"/>
        <v>0</v>
      </c>
      <c r="AD22" s="16"/>
      <c r="AF22" s="17">
        <v>450</v>
      </c>
      <c r="AG22" s="10">
        <v>0.95599999999999996</v>
      </c>
      <c r="AH22" s="11">
        <f t="shared" si="6"/>
        <v>0</v>
      </c>
      <c r="AI22" s="16"/>
      <c r="AJ22" s="7"/>
      <c r="AK22" s="27">
        <v>240</v>
      </c>
      <c r="AL22" s="26">
        <v>1006</v>
      </c>
      <c r="AM22" s="43">
        <f t="shared" si="7"/>
        <v>0</v>
      </c>
      <c r="AN22" s="16"/>
    </row>
    <row r="23" spans="2:40" x14ac:dyDescent="0.2">
      <c r="B23" s="17">
        <v>500</v>
      </c>
      <c r="C23" s="10">
        <v>0.97199999999999998</v>
      </c>
      <c r="D23" s="11">
        <f t="shared" si="0"/>
        <v>0</v>
      </c>
      <c r="E23" s="16"/>
      <c r="F23" s="7"/>
      <c r="G23" s="27">
        <v>260</v>
      </c>
      <c r="H23" s="26">
        <v>1006</v>
      </c>
      <c r="I23" s="43">
        <f t="shared" si="1"/>
        <v>0</v>
      </c>
      <c r="J23" s="16"/>
      <c r="L23" s="17">
        <v>500</v>
      </c>
      <c r="M23" s="10">
        <v>0.97199999999999998</v>
      </c>
      <c r="N23" s="11">
        <f t="shared" si="2"/>
        <v>0</v>
      </c>
      <c r="O23" s="16"/>
      <c r="P23" s="7"/>
      <c r="Q23" s="27">
        <v>260</v>
      </c>
      <c r="R23" s="26">
        <v>1006</v>
      </c>
      <c r="S23" s="43">
        <f t="shared" si="3"/>
        <v>0</v>
      </c>
      <c r="T23" s="16"/>
      <c r="V23" s="17">
        <v>500</v>
      </c>
      <c r="W23" s="10">
        <v>0.97199999999999998</v>
      </c>
      <c r="X23" s="11">
        <f t="shared" si="4"/>
        <v>0</v>
      </c>
      <c r="Y23" s="16"/>
      <c r="Z23" s="7"/>
      <c r="AA23" s="27">
        <v>260</v>
      </c>
      <c r="AB23" s="26">
        <v>1006</v>
      </c>
      <c r="AC23" s="43">
        <f t="shared" si="5"/>
        <v>0</v>
      </c>
      <c r="AD23" s="16"/>
      <c r="AF23" s="17">
        <v>500</v>
      </c>
      <c r="AG23" s="10">
        <v>0.97199999999999998</v>
      </c>
      <c r="AH23" s="11">
        <f t="shared" si="6"/>
        <v>0</v>
      </c>
      <c r="AI23" s="16"/>
      <c r="AJ23" s="7"/>
      <c r="AK23" s="27">
        <v>260</v>
      </c>
      <c r="AL23" s="26">
        <v>1006</v>
      </c>
      <c r="AM23" s="43">
        <f t="shared" si="7"/>
        <v>0</v>
      </c>
      <c r="AN23" s="16"/>
    </row>
    <row r="24" spans="2:40" x14ac:dyDescent="0.2">
      <c r="B24" s="17">
        <v>550</v>
      </c>
      <c r="C24" s="10">
        <v>0.98799999999999999</v>
      </c>
      <c r="D24" s="11">
        <f t="shared" si="0"/>
        <v>0</v>
      </c>
      <c r="E24" s="16"/>
      <c r="F24" s="7"/>
      <c r="G24" s="27">
        <v>273.2</v>
      </c>
      <c r="H24" s="26">
        <v>1006</v>
      </c>
      <c r="I24" s="43">
        <f t="shared" si="1"/>
        <v>0</v>
      </c>
      <c r="J24" s="16"/>
      <c r="L24" s="17">
        <v>550</v>
      </c>
      <c r="M24" s="10">
        <v>0.98799999999999999</v>
      </c>
      <c r="N24" s="11">
        <f t="shared" si="2"/>
        <v>0</v>
      </c>
      <c r="O24" s="16"/>
      <c r="P24" s="7"/>
      <c r="Q24" s="27">
        <v>273.2</v>
      </c>
      <c r="R24" s="26">
        <v>1006</v>
      </c>
      <c r="S24" s="43">
        <f t="shared" si="3"/>
        <v>0</v>
      </c>
      <c r="T24" s="16"/>
      <c r="V24" s="17">
        <v>550</v>
      </c>
      <c r="W24" s="10">
        <v>0.98799999999999999</v>
      </c>
      <c r="X24" s="11">
        <f t="shared" si="4"/>
        <v>0</v>
      </c>
      <c r="Y24" s="16"/>
      <c r="Z24" s="7"/>
      <c r="AA24" s="27">
        <v>273.2</v>
      </c>
      <c r="AB24" s="26">
        <v>1006</v>
      </c>
      <c r="AC24" s="43">
        <f t="shared" si="5"/>
        <v>0</v>
      </c>
      <c r="AD24" s="16"/>
      <c r="AF24" s="17">
        <v>550</v>
      </c>
      <c r="AG24" s="10">
        <v>0.98799999999999999</v>
      </c>
      <c r="AH24" s="11">
        <f t="shared" si="6"/>
        <v>0</v>
      </c>
      <c r="AI24" s="16"/>
      <c r="AJ24" s="7"/>
      <c r="AK24" s="27">
        <v>273.2</v>
      </c>
      <c r="AL24" s="26">
        <v>1006</v>
      </c>
      <c r="AM24" s="43">
        <f t="shared" si="7"/>
        <v>0</v>
      </c>
      <c r="AN24" s="16"/>
    </row>
    <row r="25" spans="2:40" x14ac:dyDescent="0.2">
      <c r="B25" s="17">
        <v>600</v>
      </c>
      <c r="C25" s="12">
        <v>1.0029999999999999</v>
      </c>
      <c r="D25" s="11">
        <f t="shared" si="0"/>
        <v>0</v>
      </c>
      <c r="E25" s="16"/>
      <c r="F25" s="7"/>
      <c r="G25" s="27">
        <v>280</v>
      </c>
      <c r="H25" s="26">
        <v>1006</v>
      </c>
      <c r="I25" s="43">
        <f t="shared" si="1"/>
        <v>0</v>
      </c>
      <c r="J25" s="16"/>
      <c r="L25" s="17">
        <v>600</v>
      </c>
      <c r="M25" s="12">
        <v>1.0029999999999999</v>
      </c>
      <c r="N25" s="11">
        <f t="shared" si="2"/>
        <v>0</v>
      </c>
      <c r="O25" s="16"/>
      <c r="P25" s="7"/>
      <c r="Q25" s="27">
        <v>280</v>
      </c>
      <c r="R25" s="26">
        <v>1006</v>
      </c>
      <c r="S25" s="43">
        <f t="shared" si="3"/>
        <v>0</v>
      </c>
      <c r="T25" s="16"/>
      <c r="V25" s="17">
        <v>600</v>
      </c>
      <c r="W25" s="12">
        <v>1.0029999999999999</v>
      </c>
      <c r="X25" s="11">
        <f t="shared" si="4"/>
        <v>1.0070094977012916</v>
      </c>
      <c r="Y25" s="16"/>
      <c r="Z25" s="7"/>
      <c r="AA25" s="27">
        <v>280</v>
      </c>
      <c r="AB25" s="26">
        <v>1006</v>
      </c>
      <c r="AC25" s="43">
        <f t="shared" si="5"/>
        <v>0</v>
      </c>
      <c r="AD25" s="16"/>
      <c r="AF25" s="17">
        <v>600</v>
      </c>
      <c r="AG25" s="12">
        <v>1.0029999999999999</v>
      </c>
      <c r="AH25" s="11">
        <f t="shared" si="6"/>
        <v>0</v>
      </c>
      <c r="AI25" s="16"/>
      <c r="AJ25" s="7"/>
      <c r="AK25" s="27">
        <v>280</v>
      </c>
      <c r="AL25" s="26">
        <v>1006</v>
      </c>
      <c r="AM25" s="43">
        <f t="shared" si="7"/>
        <v>0</v>
      </c>
      <c r="AN25" s="16"/>
    </row>
    <row r="26" spans="2:40" x14ac:dyDescent="0.2">
      <c r="B26" s="17">
        <v>650</v>
      </c>
      <c r="C26" s="12">
        <v>1.0169999999999999</v>
      </c>
      <c r="D26" s="11">
        <f t="shared" si="0"/>
        <v>0</v>
      </c>
      <c r="E26" s="16"/>
      <c r="F26" s="7"/>
      <c r="G26" s="27">
        <v>288.7</v>
      </c>
      <c r="H26" s="26">
        <v>1006</v>
      </c>
      <c r="I26" s="43">
        <f t="shared" si="1"/>
        <v>1006</v>
      </c>
      <c r="J26" s="16"/>
      <c r="L26" s="17">
        <v>650</v>
      </c>
      <c r="M26" s="12">
        <v>1.0169999999999999</v>
      </c>
      <c r="N26" s="11">
        <f t="shared" si="2"/>
        <v>0</v>
      </c>
      <c r="O26" s="16"/>
      <c r="P26" s="7"/>
      <c r="Q26" s="27">
        <v>288.7</v>
      </c>
      <c r="R26" s="26">
        <v>1006</v>
      </c>
      <c r="S26" s="43">
        <f t="shared" si="3"/>
        <v>0</v>
      </c>
      <c r="T26" s="16"/>
      <c r="V26" s="17">
        <v>650</v>
      </c>
      <c r="W26" s="12">
        <v>1.0169999999999999</v>
      </c>
      <c r="X26" s="11">
        <f t="shared" si="4"/>
        <v>0</v>
      </c>
      <c r="Y26" s="16"/>
      <c r="Z26" s="7"/>
      <c r="AA26" s="27">
        <v>288.7</v>
      </c>
      <c r="AB26" s="26">
        <v>1006</v>
      </c>
      <c r="AC26" s="43">
        <f t="shared" si="5"/>
        <v>0</v>
      </c>
      <c r="AD26" s="16"/>
      <c r="AF26" s="17">
        <v>650</v>
      </c>
      <c r="AG26" s="12">
        <v>1.0169999999999999</v>
      </c>
      <c r="AH26" s="11">
        <f t="shared" si="6"/>
        <v>0</v>
      </c>
      <c r="AI26" s="16"/>
      <c r="AJ26" s="7"/>
      <c r="AK26" s="27">
        <v>288.7</v>
      </c>
      <c r="AL26" s="26">
        <v>1006</v>
      </c>
      <c r="AM26" s="43">
        <f t="shared" si="7"/>
        <v>0</v>
      </c>
      <c r="AN26" s="16"/>
    </row>
    <row r="27" spans="2:40" x14ac:dyDescent="0.2">
      <c r="B27" s="17">
        <v>700</v>
      </c>
      <c r="C27" s="12">
        <v>1.0309999999999999</v>
      </c>
      <c r="D27" s="11">
        <f t="shared" si="0"/>
        <v>0</v>
      </c>
      <c r="E27" s="16"/>
      <c r="F27" s="7"/>
      <c r="G27" s="27">
        <v>300</v>
      </c>
      <c r="H27" s="26">
        <v>1006</v>
      </c>
      <c r="I27" s="43">
        <f t="shared" si="1"/>
        <v>0</v>
      </c>
      <c r="J27" s="16"/>
      <c r="L27" s="17">
        <v>700</v>
      </c>
      <c r="M27" s="12">
        <v>1.0309999999999999</v>
      </c>
      <c r="N27" s="11">
        <f t="shared" si="2"/>
        <v>0</v>
      </c>
      <c r="O27" s="16"/>
      <c r="P27" s="7"/>
      <c r="Q27" s="27">
        <v>300</v>
      </c>
      <c r="R27" s="26">
        <v>1006</v>
      </c>
      <c r="S27" s="43">
        <f t="shared" si="3"/>
        <v>0</v>
      </c>
      <c r="T27" s="16"/>
      <c r="V27" s="17">
        <v>700</v>
      </c>
      <c r="W27" s="12">
        <v>1.0309999999999999</v>
      </c>
      <c r="X27" s="11">
        <f t="shared" si="4"/>
        <v>0</v>
      </c>
      <c r="Y27" s="16"/>
      <c r="Z27" s="7"/>
      <c r="AA27" s="27">
        <v>300</v>
      </c>
      <c r="AB27" s="26">
        <v>1006</v>
      </c>
      <c r="AC27" s="43">
        <f t="shared" si="5"/>
        <v>0</v>
      </c>
      <c r="AD27" s="16"/>
      <c r="AF27" s="17">
        <v>700</v>
      </c>
      <c r="AG27" s="12">
        <v>1.0309999999999999</v>
      </c>
      <c r="AH27" s="11">
        <f t="shared" si="6"/>
        <v>0</v>
      </c>
      <c r="AI27" s="16"/>
      <c r="AJ27" s="7"/>
      <c r="AK27" s="27">
        <v>300</v>
      </c>
      <c r="AL27" s="26">
        <v>1006</v>
      </c>
      <c r="AM27" s="43">
        <f t="shared" si="7"/>
        <v>0</v>
      </c>
      <c r="AN27" s="16"/>
    </row>
    <row r="28" spans="2:40" x14ac:dyDescent="0.2">
      <c r="B28" s="17">
        <v>750</v>
      </c>
      <c r="C28" s="12">
        <v>1.0429999999999999</v>
      </c>
      <c r="D28" s="11">
        <f t="shared" si="0"/>
        <v>0</v>
      </c>
      <c r="E28" s="16"/>
      <c r="F28" s="7"/>
      <c r="G28" s="27">
        <v>320</v>
      </c>
      <c r="H28" s="26">
        <v>1007</v>
      </c>
      <c r="I28" s="43">
        <f t="shared" si="1"/>
        <v>0</v>
      </c>
      <c r="J28" s="16"/>
      <c r="L28" s="17">
        <v>750</v>
      </c>
      <c r="M28" s="12">
        <v>1.0429999999999999</v>
      </c>
      <c r="N28" s="11">
        <f t="shared" si="2"/>
        <v>0</v>
      </c>
      <c r="O28" s="16"/>
      <c r="P28" s="7"/>
      <c r="Q28" s="27">
        <v>320</v>
      </c>
      <c r="R28" s="26">
        <v>1007</v>
      </c>
      <c r="S28" s="43">
        <f t="shared" si="3"/>
        <v>0</v>
      </c>
      <c r="T28" s="16"/>
      <c r="V28" s="17">
        <v>750</v>
      </c>
      <c r="W28" s="12">
        <v>1.0429999999999999</v>
      </c>
      <c r="X28" s="11">
        <f t="shared" si="4"/>
        <v>0</v>
      </c>
      <c r="Y28" s="16"/>
      <c r="Z28" s="7"/>
      <c r="AA28" s="27">
        <v>320</v>
      </c>
      <c r="AB28" s="26">
        <v>1007</v>
      </c>
      <c r="AC28" s="43">
        <f t="shared" si="5"/>
        <v>0</v>
      </c>
      <c r="AD28" s="16"/>
      <c r="AF28" s="17">
        <v>750</v>
      </c>
      <c r="AG28" s="12">
        <v>1.0429999999999999</v>
      </c>
      <c r="AH28" s="11">
        <f t="shared" si="6"/>
        <v>0</v>
      </c>
      <c r="AI28" s="16"/>
      <c r="AJ28" s="7"/>
      <c r="AK28" s="27">
        <v>320</v>
      </c>
      <c r="AL28" s="26">
        <v>1007</v>
      </c>
      <c r="AM28" s="43">
        <f t="shared" si="7"/>
        <v>0</v>
      </c>
      <c r="AN28" s="16"/>
    </row>
    <row r="29" spans="2:40" x14ac:dyDescent="0.2">
      <c r="B29" s="17">
        <v>800</v>
      </c>
      <c r="C29" s="12">
        <v>1.054</v>
      </c>
      <c r="D29" s="11">
        <f t="shared" si="0"/>
        <v>0</v>
      </c>
      <c r="E29" s="16"/>
      <c r="F29" s="7"/>
      <c r="G29" s="27">
        <v>340</v>
      </c>
      <c r="H29" s="26">
        <v>1009</v>
      </c>
      <c r="I29" s="43">
        <f t="shared" si="1"/>
        <v>0</v>
      </c>
      <c r="J29" s="16"/>
      <c r="L29" s="17">
        <v>800</v>
      </c>
      <c r="M29" s="12">
        <v>1.054</v>
      </c>
      <c r="N29" s="11">
        <f t="shared" si="2"/>
        <v>0</v>
      </c>
      <c r="O29" s="16"/>
      <c r="P29" s="7"/>
      <c r="Q29" s="27">
        <v>340</v>
      </c>
      <c r="R29" s="26">
        <v>1009</v>
      </c>
      <c r="S29" s="43">
        <f t="shared" si="3"/>
        <v>0</v>
      </c>
      <c r="T29" s="16"/>
      <c r="V29" s="17">
        <v>800</v>
      </c>
      <c r="W29" s="12">
        <v>1.054</v>
      </c>
      <c r="X29" s="11">
        <f t="shared" si="4"/>
        <v>0</v>
      </c>
      <c r="Y29" s="16"/>
      <c r="Z29" s="7"/>
      <c r="AA29" s="27">
        <v>340</v>
      </c>
      <c r="AB29" s="26">
        <v>1009</v>
      </c>
      <c r="AC29" s="43">
        <f t="shared" si="5"/>
        <v>0</v>
      </c>
      <c r="AD29" s="16"/>
      <c r="AF29" s="17">
        <v>800</v>
      </c>
      <c r="AG29" s="12">
        <v>1.054</v>
      </c>
      <c r="AH29" s="11">
        <f t="shared" si="6"/>
        <v>0</v>
      </c>
      <c r="AI29" s="16"/>
      <c r="AJ29" s="7"/>
      <c r="AK29" s="27">
        <v>340</v>
      </c>
      <c r="AL29" s="26">
        <v>1009</v>
      </c>
      <c r="AM29" s="43">
        <f t="shared" si="7"/>
        <v>0</v>
      </c>
      <c r="AN29" s="16"/>
    </row>
    <row r="30" spans="2:40" x14ac:dyDescent="0.2">
      <c r="B30" s="17">
        <v>850</v>
      </c>
      <c r="C30" s="12">
        <v>1.0649999999999999</v>
      </c>
      <c r="D30" s="11">
        <f t="shared" si="0"/>
        <v>0</v>
      </c>
      <c r="E30" s="16"/>
      <c r="F30" s="7"/>
      <c r="G30" s="27">
        <v>360</v>
      </c>
      <c r="H30" s="26">
        <v>1010</v>
      </c>
      <c r="I30" s="43">
        <f t="shared" si="1"/>
        <v>0</v>
      </c>
      <c r="J30" s="16"/>
      <c r="L30" s="17">
        <v>850</v>
      </c>
      <c r="M30" s="12">
        <v>1.0649999999999999</v>
      </c>
      <c r="N30" s="11">
        <f t="shared" si="2"/>
        <v>0</v>
      </c>
      <c r="O30" s="16"/>
      <c r="P30" s="7"/>
      <c r="Q30" s="27">
        <v>360</v>
      </c>
      <c r="R30" s="26">
        <v>1010</v>
      </c>
      <c r="S30" s="43">
        <f t="shared" si="3"/>
        <v>0</v>
      </c>
      <c r="T30" s="16"/>
      <c r="V30" s="17">
        <v>850</v>
      </c>
      <c r="W30" s="12">
        <v>1.0649999999999999</v>
      </c>
      <c r="X30" s="11">
        <f t="shared" si="4"/>
        <v>0</v>
      </c>
      <c r="Y30" s="16"/>
      <c r="Z30" s="7"/>
      <c r="AA30" s="27">
        <v>360</v>
      </c>
      <c r="AB30" s="26">
        <v>1010</v>
      </c>
      <c r="AC30" s="43">
        <f t="shared" si="5"/>
        <v>0</v>
      </c>
      <c r="AD30" s="16"/>
      <c r="AF30" s="17">
        <v>850</v>
      </c>
      <c r="AG30" s="12">
        <v>1.0649999999999999</v>
      </c>
      <c r="AH30" s="11">
        <f t="shared" si="6"/>
        <v>0</v>
      </c>
      <c r="AI30" s="16"/>
      <c r="AJ30" s="7"/>
      <c r="AK30" s="27">
        <v>360</v>
      </c>
      <c r="AL30" s="26">
        <v>1010</v>
      </c>
      <c r="AM30" s="43">
        <f t="shared" si="7"/>
        <v>0</v>
      </c>
      <c r="AN30" s="16"/>
    </row>
    <row r="31" spans="2:40" x14ac:dyDescent="0.2">
      <c r="B31" s="17">
        <v>900</v>
      </c>
      <c r="C31" s="12">
        <v>1.0740000000000001</v>
      </c>
      <c r="D31" s="11">
        <f t="shared" si="0"/>
        <v>0</v>
      </c>
      <c r="E31" s="16"/>
      <c r="F31" s="7"/>
      <c r="G31" s="27">
        <v>380</v>
      </c>
      <c r="H31" s="26">
        <v>1012</v>
      </c>
      <c r="I31" s="43">
        <f t="shared" si="1"/>
        <v>0</v>
      </c>
      <c r="J31" s="16"/>
      <c r="L31" s="17">
        <v>900</v>
      </c>
      <c r="M31" s="12">
        <v>1.0740000000000001</v>
      </c>
      <c r="N31" s="11">
        <f t="shared" si="2"/>
        <v>0</v>
      </c>
      <c r="O31" s="16"/>
      <c r="P31" s="7"/>
      <c r="Q31" s="27">
        <v>380</v>
      </c>
      <c r="R31" s="26">
        <v>1012</v>
      </c>
      <c r="S31" s="43">
        <f t="shared" si="3"/>
        <v>0</v>
      </c>
      <c r="T31" s="16"/>
      <c r="V31" s="17">
        <v>900</v>
      </c>
      <c r="W31" s="12">
        <v>1.0740000000000001</v>
      </c>
      <c r="X31" s="11">
        <f t="shared" si="4"/>
        <v>0</v>
      </c>
      <c r="Y31" s="16"/>
      <c r="Z31" s="7"/>
      <c r="AA31" s="27">
        <v>380</v>
      </c>
      <c r="AB31" s="26">
        <v>1012</v>
      </c>
      <c r="AC31" s="43">
        <f t="shared" si="5"/>
        <v>0</v>
      </c>
      <c r="AD31" s="16"/>
      <c r="AF31" s="17">
        <v>900</v>
      </c>
      <c r="AG31" s="12">
        <v>1.0740000000000001</v>
      </c>
      <c r="AH31" s="11">
        <f t="shared" si="6"/>
        <v>1.0788881824246555</v>
      </c>
      <c r="AI31" s="16"/>
      <c r="AJ31" s="7"/>
      <c r="AK31" s="27">
        <v>380</v>
      </c>
      <c r="AL31" s="26">
        <v>1012</v>
      </c>
      <c r="AM31" s="43">
        <f t="shared" si="7"/>
        <v>0</v>
      </c>
      <c r="AN31" s="16"/>
    </row>
    <row r="32" spans="2:40" x14ac:dyDescent="0.2">
      <c r="B32" s="17">
        <v>950</v>
      </c>
      <c r="C32" s="12">
        <v>1.0820000000000001</v>
      </c>
      <c r="D32" s="11">
        <f t="shared" si="0"/>
        <v>0</v>
      </c>
      <c r="E32" s="16"/>
      <c r="F32" s="7"/>
      <c r="G32" s="27">
        <v>400</v>
      </c>
      <c r="H32" s="26">
        <v>1014</v>
      </c>
      <c r="I32" s="43">
        <f t="shared" si="1"/>
        <v>0</v>
      </c>
      <c r="J32" s="16"/>
      <c r="L32" s="17">
        <v>950</v>
      </c>
      <c r="M32" s="12">
        <v>1.0820000000000001</v>
      </c>
      <c r="N32" s="11">
        <f t="shared" si="2"/>
        <v>1.08968</v>
      </c>
      <c r="O32" s="16"/>
      <c r="P32" s="7"/>
      <c r="Q32" s="27">
        <v>400</v>
      </c>
      <c r="R32" s="26">
        <v>1014</v>
      </c>
      <c r="S32" s="43">
        <f t="shared" si="3"/>
        <v>0</v>
      </c>
      <c r="T32" s="16"/>
      <c r="V32" s="17">
        <v>950</v>
      </c>
      <c r="W32" s="12">
        <v>1.0820000000000001</v>
      </c>
      <c r="X32" s="11">
        <f t="shared" si="4"/>
        <v>0</v>
      </c>
      <c r="Y32" s="16"/>
      <c r="Z32" s="7"/>
      <c r="AA32" s="27">
        <v>400</v>
      </c>
      <c r="AB32" s="26">
        <v>1014</v>
      </c>
      <c r="AC32" s="43">
        <f t="shared" si="5"/>
        <v>0</v>
      </c>
      <c r="AD32" s="16"/>
      <c r="AF32" s="17">
        <v>950</v>
      </c>
      <c r="AG32" s="12">
        <v>1.0820000000000001</v>
      </c>
      <c r="AH32" s="11">
        <f t="shared" si="6"/>
        <v>0</v>
      </c>
      <c r="AI32" s="16"/>
      <c r="AJ32" s="7"/>
      <c r="AK32" s="27">
        <v>400</v>
      </c>
      <c r="AL32" s="26">
        <v>1014</v>
      </c>
      <c r="AM32" s="43">
        <f t="shared" si="7"/>
        <v>0</v>
      </c>
      <c r="AN32" s="16"/>
    </row>
    <row r="33" spans="2:40" x14ac:dyDescent="0.2">
      <c r="B33" s="17">
        <v>1000</v>
      </c>
      <c r="C33" s="12">
        <v>1.0900000000000001</v>
      </c>
      <c r="D33" s="11">
        <f t="shared" si="0"/>
        <v>0</v>
      </c>
      <c r="E33" s="16"/>
      <c r="F33" s="7"/>
      <c r="G33" s="27">
        <v>500</v>
      </c>
      <c r="H33" s="26">
        <v>1030</v>
      </c>
      <c r="I33" s="43">
        <f t="shared" si="1"/>
        <v>0</v>
      </c>
      <c r="J33" s="16"/>
      <c r="L33" s="17">
        <v>1000</v>
      </c>
      <c r="M33" s="12">
        <v>1.0900000000000001</v>
      </c>
      <c r="N33" s="11">
        <f t="shared" si="2"/>
        <v>0</v>
      </c>
      <c r="O33" s="16"/>
      <c r="P33" s="7"/>
      <c r="Q33" s="27">
        <v>500</v>
      </c>
      <c r="R33" s="26">
        <v>1030</v>
      </c>
      <c r="S33" s="43">
        <f t="shared" si="3"/>
        <v>0</v>
      </c>
      <c r="T33" s="16"/>
      <c r="V33" s="17">
        <v>1000</v>
      </c>
      <c r="W33" s="12">
        <v>1.0900000000000001</v>
      </c>
      <c r="X33" s="11">
        <f t="shared" si="4"/>
        <v>0</v>
      </c>
      <c r="Y33" s="16"/>
      <c r="Z33" s="7"/>
      <c r="AA33" s="27">
        <v>500</v>
      </c>
      <c r="AB33" s="26">
        <v>1030</v>
      </c>
      <c r="AC33" s="43">
        <f t="shared" si="5"/>
        <v>0</v>
      </c>
      <c r="AD33" s="16"/>
      <c r="AF33" s="17">
        <v>1000</v>
      </c>
      <c r="AG33" s="12">
        <v>1.0900000000000001</v>
      </c>
      <c r="AH33" s="11">
        <f t="shared" si="6"/>
        <v>0</v>
      </c>
      <c r="AI33" s="16"/>
      <c r="AJ33" s="7"/>
      <c r="AK33" s="27">
        <v>500</v>
      </c>
      <c r="AL33" s="26">
        <v>1030</v>
      </c>
      <c r="AM33" s="43">
        <f t="shared" si="7"/>
        <v>0</v>
      </c>
      <c r="AN33" s="16"/>
    </row>
    <row r="34" spans="2:40" x14ac:dyDescent="0.2">
      <c r="B34" s="17">
        <v>1050</v>
      </c>
      <c r="C34" s="12">
        <v>1.097</v>
      </c>
      <c r="D34" s="11">
        <f t="shared" si="0"/>
        <v>0</v>
      </c>
      <c r="E34" s="16"/>
      <c r="F34" s="7"/>
      <c r="G34" s="27">
        <v>600</v>
      </c>
      <c r="H34" s="26">
        <v>1051</v>
      </c>
      <c r="I34" s="43">
        <f t="shared" si="1"/>
        <v>0</v>
      </c>
      <c r="J34" s="16"/>
      <c r="L34" s="17">
        <v>1050</v>
      </c>
      <c r="M34" s="12">
        <v>1.097</v>
      </c>
      <c r="N34" s="11">
        <f t="shared" si="2"/>
        <v>0</v>
      </c>
      <c r="O34" s="16"/>
      <c r="P34" s="7"/>
      <c r="Q34" s="27">
        <v>600</v>
      </c>
      <c r="R34" s="26">
        <v>1051</v>
      </c>
      <c r="S34" s="43">
        <f t="shared" si="3"/>
        <v>0</v>
      </c>
      <c r="T34" s="16"/>
      <c r="V34" s="17">
        <v>1050</v>
      </c>
      <c r="W34" s="12">
        <v>1.097</v>
      </c>
      <c r="X34" s="11">
        <f t="shared" si="4"/>
        <v>0</v>
      </c>
      <c r="Y34" s="16"/>
      <c r="Z34" s="7"/>
      <c r="AA34" s="27">
        <v>600</v>
      </c>
      <c r="AB34" s="26">
        <v>1051</v>
      </c>
      <c r="AC34" s="43">
        <f t="shared" si="5"/>
        <v>1054.4367123153929</v>
      </c>
      <c r="AD34" s="16"/>
      <c r="AF34" s="17">
        <v>1050</v>
      </c>
      <c r="AG34" s="12">
        <v>1.097</v>
      </c>
      <c r="AH34" s="11">
        <f t="shared" si="6"/>
        <v>0</v>
      </c>
      <c r="AI34" s="16"/>
      <c r="AJ34" s="7"/>
      <c r="AK34" s="27">
        <v>600</v>
      </c>
      <c r="AL34" s="26">
        <v>1051</v>
      </c>
      <c r="AM34" s="43">
        <f t="shared" si="7"/>
        <v>0</v>
      </c>
      <c r="AN34" s="16"/>
    </row>
    <row r="35" spans="2:40" x14ac:dyDescent="0.2">
      <c r="B35" s="17">
        <v>1100</v>
      </c>
      <c r="C35" s="12">
        <v>1.103</v>
      </c>
      <c r="D35" s="11">
        <f t="shared" si="0"/>
        <v>0</v>
      </c>
      <c r="E35" s="16"/>
      <c r="F35" s="7"/>
      <c r="G35" s="27">
        <v>700</v>
      </c>
      <c r="H35" s="26">
        <v>1075</v>
      </c>
      <c r="I35" s="43">
        <f t="shared" si="1"/>
        <v>0</v>
      </c>
      <c r="J35" s="16"/>
      <c r="L35" s="17">
        <v>1100</v>
      </c>
      <c r="M35" s="12">
        <v>1.103</v>
      </c>
      <c r="N35" s="11">
        <f t="shared" si="2"/>
        <v>0</v>
      </c>
      <c r="O35" s="16"/>
      <c r="P35" s="7"/>
      <c r="Q35" s="27">
        <v>700</v>
      </c>
      <c r="R35" s="26">
        <v>1075</v>
      </c>
      <c r="S35" s="43">
        <f t="shared" si="3"/>
        <v>0</v>
      </c>
      <c r="T35" s="16"/>
      <c r="V35" s="17">
        <v>1100</v>
      </c>
      <c r="W35" s="12">
        <v>1.103</v>
      </c>
      <c r="X35" s="11">
        <f t="shared" si="4"/>
        <v>0</v>
      </c>
      <c r="Y35" s="16"/>
      <c r="Z35" s="7"/>
      <c r="AA35" s="27">
        <v>700</v>
      </c>
      <c r="AB35" s="26">
        <v>1075</v>
      </c>
      <c r="AC35" s="43">
        <f t="shared" si="5"/>
        <v>0</v>
      </c>
      <c r="AD35" s="16"/>
      <c r="AF35" s="17">
        <v>1100</v>
      </c>
      <c r="AG35" s="12">
        <v>1.103</v>
      </c>
      <c r="AH35" s="11">
        <f t="shared" si="6"/>
        <v>0</v>
      </c>
      <c r="AI35" s="16"/>
      <c r="AJ35" s="7"/>
      <c r="AK35" s="27">
        <v>700</v>
      </c>
      <c r="AL35" s="26">
        <v>1075</v>
      </c>
      <c r="AM35" s="43">
        <f t="shared" si="7"/>
        <v>0</v>
      </c>
      <c r="AN35" s="16"/>
    </row>
    <row r="36" spans="2:40" x14ac:dyDescent="0.2">
      <c r="B36" s="17">
        <v>1150</v>
      </c>
      <c r="C36" s="12">
        <v>1.109</v>
      </c>
      <c r="D36" s="11">
        <f t="shared" si="0"/>
        <v>0</v>
      </c>
      <c r="E36" s="16"/>
      <c r="G36" s="27">
        <v>800</v>
      </c>
      <c r="H36" s="26">
        <v>1099</v>
      </c>
      <c r="I36" s="43">
        <f t="shared" si="1"/>
        <v>0</v>
      </c>
      <c r="J36" s="16"/>
      <c r="L36" s="17">
        <v>1150</v>
      </c>
      <c r="M36" s="12">
        <v>1.109</v>
      </c>
      <c r="N36" s="11">
        <f t="shared" si="2"/>
        <v>0</v>
      </c>
      <c r="O36" s="16"/>
      <c r="Q36" s="27">
        <v>800</v>
      </c>
      <c r="R36" s="26">
        <v>1099</v>
      </c>
      <c r="S36" s="43">
        <f t="shared" si="3"/>
        <v>0</v>
      </c>
      <c r="T36" s="16"/>
      <c r="V36" s="17">
        <v>1150</v>
      </c>
      <c r="W36" s="12">
        <v>1.109</v>
      </c>
      <c r="X36" s="11">
        <f t="shared" si="4"/>
        <v>0</v>
      </c>
      <c r="Y36" s="16"/>
      <c r="AA36" s="27">
        <v>800</v>
      </c>
      <c r="AB36" s="26">
        <v>1099</v>
      </c>
      <c r="AC36" s="43">
        <f t="shared" si="5"/>
        <v>0</v>
      </c>
      <c r="AD36" s="16"/>
      <c r="AF36" s="17">
        <v>1150</v>
      </c>
      <c r="AG36" s="12">
        <v>1.109</v>
      </c>
      <c r="AH36" s="11">
        <f t="shared" si="6"/>
        <v>0</v>
      </c>
      <c r="AI36" s="16"/>
      <c r="AK36" s="27">
        <v>800</v>
      </c>
      <c r="AL36" s="26">
        <v>1099</v>
      </c>
      <c r="AM36" s="43">
        <f t="shared" si="7"/>
        <v>0</v>
      </c>
      <c r="AN36" s="16"/>
    </row>
    <row r="37" spans="2:40" x14ac:dyDescent="0.2">
      <c r="B37" s="17">
        <v>1200</v>
      </c>
      <c r="C37" s="12">
        <v>1.115</v>
      </c>
      <c r="D37" s="11">
        <f t="shared" si="0"/>
        <v>0</v>
      </c>
      <c r="E37" s="16"/>
      <c r="G37" s="27">
        <v>900</v>
      </c>
      <c r="H37" s="26">
        <v>1121</v>
      </c>
      <c r="I37" s="43">
        <f t="shared" si="1"/>
        <v>0</v>
      </c>
      <c r="J37" s="16"/>
      <c r="L37" s="17">
        <v>1200</v>
      </c>
      <c r="M37" s="12">
        <v>1.115</v>
      </c>
      <c r="N37" s="11">
        <f t="shared" si="2"/>
        <v>0</v>
      </c>
      <c r="O37" s="16"/>
      <c r="Q37" s="27">
        <v>900</v>
      </c>
      <c r="R37" s="26">
        <v>1121</v>
      </c>
      <c r="S37" s="43">
        <f t="shared" si="3"/>
        <v>1139.6199999999999</v>
      </c>
      <c r="T37" s="16"/>
      <c r="V37" s="17">
        <v>1200</v>
      </c>
      <c r="W37" s="12">
        <v>1.115</v>
      </c>
      <c r="X37" s="11">
        <f t="shared" si="4"/>
        <v>0</v>
      </c>
      <c r="Y37" s="16"/>
      <c r="AA37" s="27">
        <v>900</v>
      </c>
      <c r="AB37" s="26">
        <v>1121</v>
      </c>
      <c r="AC37" s="43">
        <f t="shared" si="5"/>
        <v>0</v>
      </c>
      <c r="AD37" s="16"/>
      <c r="AF37" s="17">
        <v>1200</v>
      </c>
      <c r="AG37" s="12">
        <v>1.115</v>
      </c>
      <c r="AH37" s="11">
        <f t="shared" si="6"/>
        <v>0</v>
      </c>
      <c r="AI37" s="16"/>
      <c r="AK37" s="27">
        <v>900</v>
      </c>
      <c r="AL37" s="26">
        <v>1121</v>
      </c>
      <c r="AM37" s="43">
        <f t="shared" si="7"/>
        <v>1126.8047166292781</v>
      </c>
      <c r="AN37" s="16"/>
    </row>
    <row r="38" spans="2:40" x14ac:dyDescent="0.2">
      <c r="B38" s="17">
        <v>1250</v>
      </c>
      <c r="C38" s="12">
        <v>1.1200000000000001</v>
      </c>
      <c r="D38" s="11">
        <f t="shared" si="0"/>
        <v>0</v>
      </c>
      <c r="E38" s="16"/>
      <c r="G38" s="27">
        <v>1100</v>
      </c>
      <c r="H38" s="26">
        <v>1159</v>
      </c>
      <c r="I38" s="43">
        <f t="shared" si="1"/>
        <v>0</v>
      </c>
      <c r="J38" s="16"/>
      <c r="L38" s="17">
        <v>1250</v>
      </c>
      <c r="M38" s="12">
        <v>1.1200000000000001</v>
      </c>
      <c r="N38" s="11">
        <f t="shared" si="2"/>
        <v>0</v>
      </c>
      <c r="O38" s="16"/>
      <c r="Q38" s="27">
        <v>1100</v>
      </c>
      <c r="R38" s="26">
        <v>1159</v>
      </c>
      <c r="S38" s="43">
        <f t="shared" si="3"/>
        <v>0</v>
      </c>
      <c r="T38" s="16"/>
      <c r="V38" s="17">
        <v>1250</v>
      </c>
      <c r="W38" s="12">
        <v>1.1200000000000001</v>
      </c>
      <c r="X38" s="11">
        <f t="shared" si="4"/>
        <v>0</v>
      </c>
      <c r="Y38" s="16"/>
      <c r="AA38" s="27">
        <v>1100</v>
      </c>
      <c r="AB38" s="26">
        <v>1159</v>
      </c>
      <c r="AC38" s="43">
        <f t="shared" si="5"/>
        <v>0</v>
      </c>
      <c r="AD38" s="16"/>
      <c r="AF38" s="17">
        <v>1250</v>
      </c>
      <c r="AG38" s="12">
        <v>1.1200000000000001</v>
      </c>
      <c r="AH38" s="11">
        <f t="shared" si="6"/>
        <v>0</v>
      </c>
      <c r="AI38" s="16"/>
      <c r="AK38" s="27">
        <v>1100</v>
      </c>
      <c r="AL38" s="26">
        <v>1159</v>
      </c>
      <c r="AM38" s="43">
        <f t="shared" si="7"/>
        <v>0</v>
      </c>
      <c r="AN38" s="16"/>
    </row>
    <row r="39" spans="2:40" x14ac:dyDescent="0.2">
      <c r="B39" s="17">
        <v>1300</v>
      </c>
      <c r="C39" s="12">
        <v>1.125</v>
      </c>
      <c r="D39" s="11">
        <f t="shared" si="0"/>
        <v>0</v>
      </c>
      <c r="E39" s="16"/>
      <c r="G39" s="27">
        <v>1500</v>
      </c>
      <c r="H39" s="26">
        <v>1210</v>
      </c>
      <c r="I39" s="43">
        <f t="shared" si="1"/>
        <v>0</v>
      </c>
      <c r="J39" s="16"/>
      <c r="L39" s="17">
        <v>1300</v>
      </c>
      <c r="M39" s="12">
        <v>1.125</v>
      </c>
      <c r="N39" s="11">
        <f t="shared" si="2"/>
        <v>0</v>
      </c>
      <c r="O39" s="16"/>
      <c r="Q39" s="27">
        <v>1500</v>
      </c>
      <c r="R39" s="26">
        <v>1210</v>
      </c>
      <c r="S39" s="43">
        <f t="shared" si="3"/>
        <v>0</v>
      </c>
      <c r="T39" s="16"/>
      <c r="V39" s="17">
        <v>1300</v>
      </c>
      <c r="W39" s="12">
        <v>1.125</v>
      </c>
      <c r="X39" s="11">
        <f t="shared" si="4"/>
        <v>0</v>
      </c>
      <c r="Y39" s="16"/>
      <c r="AA39" s="27">
        <v>1500</v>
      </c>
      <c r="AB39" s="26">
        <v>1210</v>
      </c>
      <c r="AC39" s="43">
        <f t="shared" si="5"/>
        <v>0</v>
      </c>
      <c r="AD39" s="16"/>
      <c r="AF39" s="17">
        <v>1300</v>
      </c>
      <c r="AG39" s="12">
        <v>1.125</v>
      </c>
      <c r="AH39" s="11">
        <f t="shared" si="6"/>
        <v>0</v>
      </c>
      <c r="AI39" s="16"/>
      <c r="AK39" s="27">
        <v>1500</v>
      </c>
      <c r="AL39" s="26">
        <v>1210</v>
      </c>
      <c r="AM39" s="43">
        <f t="shared" si="7"/>
        <v>0</v>
      </c>
      <c r="AN39" s="16"/>
    </row>
    <row r="40" spans="2:40" x14ac:dyDescent="0.2">
      <c r="B40" s="17">
        <v>1350</v>
      </c>
      <c r="C40" s="12">
        <v>1.1299999999999999</v>
      </c>
      <c r="D40" s="11">
        <f t="shared" si="0"/>
        <v>0</v>
      </c>
      <c r="E40" s="16"/>
      <c r="G40" s="27">
        <v>1900</v>
      </c>
      <c r="H40" s="26">
        <v>1241</v>
      </c>
      <c r="I40" s="43">
        <f t="shared" si="1"/>
        <v>0</v>
      </c>
      <c r="J40" s="16"/>
      <c r="L40" s="17">
        <v>1350</v>
      </c>
      <c r="M40" s="12">
        <v>1.1299999999999999</v>
      </c>
      <c r="N40" s="11">
        <f t="shared" si="2"/>
        <v>0</v>
      </c>
      <c r="O40" s="16"/>
      <c r="Q40" s="27">
        <v>1900</v>
      </c>
      <c r="R40" s="26">
        <v>1241</v>
      </c>
      <c r="S40" s="43">
        <f t="shared" si="3"/>
        <v>0</v>
      </c>
      <c r="T40" s="16"/>
      <c r="V40" s="17">
        <v>1350</v>
      </c>
      <c r="W40" s="12">
        <v>1.1299999999999999</v>
      </c>
      <c r="X40" s="11">
        <f t="shared" si="4"/>
        <v>0</v>
      </c>
      <c r="Y40" s="16"/>
      <c r="AA40" s="27">
        <v>1900</v>
      </c>
      <c r="AB40" s="26">
        <v>1241</v>
      </c>
      <c r="AC40" s="43">
        <f t="shared" si="5"/>
        <v>0</v>
      </c>
      <c r="AD40" s="16"/>
      <c r="AF40" s="17">
        <v>1350</v>
      </c>
      <c r="AG40" s="12">
        <v>1.1299999999999999</v>
      </c>
      <c r="AH40" s="11">
        <f t="shared" si="6"/>
        <v>0</v>
      </c>
      <c r="AI40" s="16"/>
      <c r="AK40" s="27">
        <v>1900</v>
      </c>
      <c r="AL40" s="26">
        <v>1241</v>
      </c>
      <c r="AM40" s="43">
        <f t="shared" si="7"/>
        <v>0</v>
      </c>
      <c r="AN40" s="16"/>
    </row>
    <row r="41" spans="2:40" x14ac:dyDescent="0.2">
      <c r="B41" s="17">
        <v>1400</v>
      </c>
      <c r="C41" s="12">
        <v>1.1339999999999999</v>
      </c>
      <c r="D41" s="11">
        <f t="shared" si="0"/>
        <v>0</v>
      </c>
      <c r="E41" s="16"/>
      <c r="G41" s="17"/>
      <c r="H41" s="12"/>
      <c r="I41" s="11"/>
      <c r="J41" s="16"/>
      <c r="L41" s="17">
        <v>1400</v>
      </c>
      <c r="M41" s="12">
        <v>1.1339999999999999</v>
      </c>
      <c r="N41" s="11">
        <f t="shared" si="2"/>
        <v>0</v>
      </c>
      <c r="O41" s="16"/>
      <c r="Q41" s="17"/>
      <c r="R41" s="12"/>
      <c r="S41" s="11"/>
      <c r="T41" s="16"/>
      <c r="V41" s="17">
        <v>1400</v>
      </c>
      <c r="W41" s="12">
        <v>1.1339999999999999</v>
      </c>
      <c r="X41" s="11">
        <f t="shared" si="4"/>
        <v>0</v>
      </c>
      <c r="Y41" s="16"/>
      <c r="AA41" s="17"/>
      <c r="AB41" s="12"/>
      <c r="AC41" s="11"/>
      <c r="AD41" s="16"/>
      <c r="AF41" s="17">
        <v>1400</v>
      </c>
      <c r="AG41" s="12">
        <v>1.1339999999999999</v>
      </c>
      <c r="AH41" s="11">
        <f t="shared" si="6"/>
        <v>0</v>
      </c>
      <c r="AI41" s="16"/>
      <c r="AK41" s="17"/>
      <c r="AL41" s="12"/>
      <c r="AM41" s="11"/>
      <c r="AN41" s="16"/>
    </row>
    <row r="42" spans="2:40" x14ac:dyDescent="0.2">
      <c r="B42" s="17">
        <v>1500</v>
      </c>
      <c r="C42" s="12">
        <v>1.143</v>
      </c>
      <c r="D42" s="11">
        <f t="shared" si="0"/>
        <v>0</v>
      </c>
      <c r="E42" s="16"/>
      <c r="G42" s="17"/>
      <c r="H42" s="12"/>
      <c r="I42" s="11"/>
      <c r="J42" s="16"/>
      <c r="L42" s="17">
        <v>1500</v>
      </c>
      <c r="M42" s="12">
        <v>1.143</v>
      </c>
      <c r="N42" s="11">
        <f t="shared" si="2"/>
        <v>0</v>
      </c>
      <c r="O42" s="16"/>
      <c r="Q42" s="17"/>
      <c r="R42" s="12"/>
      <c r="S42" s="11"/>
      <c r="T42" s="16"/>
      <c r="V42" s="17">
        <v>1500</v>
      </c>
      <c r="W42" s="12">
        <v>1.143</v>
      </c>
      <c r="X42" s="11">
        <f t="shared" si="4"/>
        <v>0</v>
      </c>
      <c r="Y42" s="16"/>
      <c r="AA42" s="17"/>
      <c r="AB42" s="12"/>
      <c r="AC42" s="11"/>
      <c r="AD42" s="16"/>
      <c r="AF42" s="17">
        <v>1500</v>
      </c>
      <c r="AG42" s="12">
        <v>1.143</v>
      </c>
      <c r="AH42" s="11">
        <f t="shared" si="6"/>
        <v>0</v>
      </c>
      <c r="AI42" s="16"/>
      <c r="AK42" s="17"/>
      <c r="AL42" s="12"/>
      <c r="AM42" s="11"/>
      <c r="AN42" s="16"/>
    </row>
    <row r="43" spans="2:40" x14ac:dyDescent="0.2">
      <c r="B43" s="17">
        <v>1600</v>
      </c>
      <c r="C43" s="12">
        <v>1.151</v>
      </c>
      <c r="D43" s="11">
        <f t="shared" si="0"/>
        <v>0</v>
      </c>
      <c r="E43" s="16"/>
      <c r="G43" s="17"/>
      <c r="H43" s="12"/>
      <c r="I43" s="11"/>
      <c r="J43" s="16"/>
      <c r="L43" s="17">
        <v>1600</v>
      </c>
      <c r="M43" s="12">
        <v>1.151</v>
      </c>
      <c r="N43" s="11">
        <f t="shared" si="2"/>
        <v>0</v>
      </c>
      <c r="O43" s="16"/>
      <c r="Q43" s="17"/>
      <c r="R43" s="12"/>
      <c r="S43" s="11"/>
      <c r="T43" s="16"/>
      <c r="V43" s="17">
        <v>1600</v>
      </c>
      <c r="W43" s="12">
        <v>1.151</v>
      </c>
      <c r="X43" s="11">
        <f t="shared" si="4"/>
        <v>0</v>
      </c>
      <c r="Y43" s="16"/>
      <c r="AA43" s="17"/>
      <c r="AB43" s="12"/>
      <c r="AC43" s="11"/>
      <c r="AD43" s="16"/>
      <c r="AF43" s="17">
        <v>1600</v>
      </c>
      <c r="AG43" s="12">
        <v>1.151</v>
      </c>
      <c r="AH43" s="11">
        <f t="shared" si="6"/>
        <v>0</v>
      </c>
      <c r="AI43" s="16"/>
      <c r="AK43" s="17"/>
      <c r="AL43" s="12"/>
      <c r="AM43" s="11"/>
      <c r="AN43" s="16"/>
    </row>
    <row r="44" spans="2:40" x14ac:dyDescent="0.2">
      <c r="B44" s="17">
        <v>1700</v>
      </c>
      <c r="C44" s="12">
        <v>1.1579999999999999</v>
      </c>
      <c r="D44" s="11">
        <f t="shared" si="0"/>
        <v>0</v>
      </c>
      <c r="E44" s="16"/>
      <c r="G44" s="17"/>
      <c r="H44" s="12"/>
      <c r="I44" s="11"/>
      <c r="J44" s="16"/>
      <c r="L44" s="17">
        <v>1700</v>
      </c>
      <c r="M44" s="12">
        <v>1.1579999999999999</v>
      </c>
      <c r="N44" s="11">
        <f t="shared" si="2"/>
        <v>0</v>
      </c>
      <c r="O44" s="16"/>
      <c r="Q44" s="17"/>
      <c r="R44" s="12"/>
      <c r="S44" s="11"/>
      <c r="T44" s="16"/>
      <c r="V44" s="17">
        <v>1700</v>
      </c>
      <c r="W44" s="12">
        <v>1.1579999999999999</v>
      </c>
      <c r="X44" s="11">
        <f t="shared" si="4"/>
        <v>0</v>
      </c>
      <c r="Y44" s="16"/>
      <c r="AA44" s="17"/>
      <c r="AB44" s="12"/>
      <c r="AC44" s="11"/>
      <c r="AD44" s="16"/>
      <c r="AF44" s="17">
        <v>1700</v>
      </c>
      <c r="AG44" s="12">
        <v>1.1579999999999999</v>
      </c>
      <c r="AH44" s="11">
        <f t="shared" si="6"/>
        <v>0</v>
      </c>
      <c r="AI44" s="16"/>
      <c r="AK44" s="17"/>
      <c r="AL44" s="12"/>
      <c r="AM44" s="11"/>
      <c r="AN44" s="16"/>
    </row>
    <row r="45" spans="2:40" x14ac:dyDescent="0.2">
      <c r="B45" s="17">
        <v>1800</v>
      </c>
      <c r="C45" s="12">
        <v>1.1659999999999999</v>
      </c>
      <c r="D45" s="11">
        <f t="shared" si="0"/>
        <v>0</v>
      </c>
      <c r="E45" s="16"/>
      <c r="G45" s="17"/>
      <c r="H45" s="12"/>
      <c r="I45" s="11"/>
      <c r="J45" s="16"/>
      <c r="L45" s="17">
        <v>1800</v>
      </c>
      <c r="M45" s="12">
        <v>1.1659999999999999</v>
      </c>
      <c r="N45" s="11">
        <f t="shared" si="2"/>
        <v>0</v>
      </c>
      <c r="O45" s="16"/>
      <c r="Q45" s="17"/>
      <c r="R45" s="12"/>
      <c r="S45" s="11"/>
      <c r="T45" s="16"/>
      <c r="V45" s="17">
        <v>1800</v>
      </c>
      <c r="W45" s="12">
        <v>1.1659999999999999</v>
      </c>
      <c r="X45" s="11">
        <f t="shared" si="4"/>
        <v>0</v>
      </c>
      <c r="Y45" s="16"/>
      <c r="AA45" s="17"/>
      <c r="AB45" s="12"/>
      <c r="AC45" s="11"/>
      <c r="AD45" s="16"/>
      <c r="AF45" s="17">
        <v>1800</v>
      </c>
      <c r="AG45" s="12">
        <v>1.1659999999999999</v>
      </c>
      <c r="AH45" s="11">
        <f t="shared" si="6"/>
        <v>0</v>
      </c>
      <c r="AI45" s="16"/>
      <c r="AK45" s="17"/>
      <c r="AL45" s="12"/>
      <c r="AM45" s="11"/>
      <c r="AN45" s="16"/>
    </row>
    <row r="46" spans="2:40" x14ac:dyDescent="0.2">
      <c r="B46" s="17">
        <v>1900</v>
      </c>
      <c r="C46" s="12">
        <v>1.173</v>
      </c>
      <c r="D46" s="11">
        <f t="shared" si="0"/>
        <v>0</v>
      </c>
      <c r="E46" s="16"/>
      <c r="G46" s="17"/>
      <c r="H46" s="12"/>
      <c r="I46" s="11"/>
      <c r="J46" s="16"/>
      <c r="L46" s="17">
        <v>1900</v>
      </c>
      <c r="M46" s="12">
        <v>1.173</v>
      </c>
      <c r="N46" s="11">
        <f t="shared" si="2"/>
        <v>0</v>
      </c>
      <c r="O46" s="16"/>
      <c r="Q46" s="17"/>
      <c r="R46" s="12"/>
      <c r="S46" s="11"/>
      <c r="T46" s="16"/>
      <c r="V46" s="17">
        <v>1900</v>
      </c>
      <c r="W46" s="12">
        <v>1.173</v>
      </c>
      <c r="X46" s="11">
        <f t="shared" si="4"/>
        <v>0</v>
      </c>
      <c r="Y46" s="16"/>
      <c r="AA46" s="17"/>
      <c r="AB46" s="12"/>
      <c r="AC46" s="11"/>
      <c r="AD46" s="16"/>
      <c r="AF46" s="17">
        <v>1900</v>
      </c>
      <c r="AG46" s="12">
        <v>1.173</v>
      </c>
      <c r="AH46" s="11">
        <f t="shared" si="6"/>
        <v>0</v>
      </c>
      <c r="AI46" s="16"/>
      <c r="AK46" s="17"/>
      <c r="AL46" s="12"/>
      <c r="AM46" s="11"/>
      <c r="AN46" s="16"/>
    </row>
    <row r="47" spans="2:40" x14ac:dyDescent="0.2">
      <c r="B47" s="18"/>
      <c r="C47" s="9"/>
      <c r="D47" s="2"/>
      <c r="E47" s="16"/>
      <c r="G47" s="18"/>
      <c r="H47" s="9"/>
      <c r="I47" s="2"/>
      <c r="J47" s="16"/>
      <c r="L47" s="18"/>
      <c r="M47" s="9"/>
      <c r="N47" s="2"/>
      <c r="O47" s="16"/>
      <c r="Q47" s="18"/>
      <c r="R47" s="9"/>
      <c r="S47" s="2"/>
      <c r="T47" s="16"/>
      <c r="V47" s="18"/>
      <c r="W47" s="9"/>
      <c r="X47" s="2"/>
      <c r="Y47" s="16"/>
      <c r="AA47" s="18"/>
      <c r="AB47" s="9"/>
      <c r="AC47" s="2"/>
      <c r="AD47" s="16"/>
      <c r="AF47" s="18"/>
      <c r="AG47" s="9"/>
      <c r="AH47" s="2"/>
      <c r="AI47" s="16"/>
      <c r="AK47" s="18"/>
      <c r="AL47" s="9"/>
      <c r="AM47" s="2"/>
      <c r="AN47" s="16"/>
    </row>
    <row r="48" spans="2:40" ht="28" thickBot="1" x14ac:dyDescent="0.25">
      <c r="B48" s="19" t="s">
        <v>4</v>
      </c>
      <c r="C48" s="20"/>
      <c r="D48" s="24">
        <f>SUM(D12:D46)*1000</f>
        <v>917.28</v>
      </c>
      <c r="E48" s="21" t="s">
        <v>0</v>
      </c>
      <c r="G48" s="19" t="s">
        <v>4</v>
      </c>
      <c r="H48" s="20"/>
      <c r="I48" s="24">
        <f>SUM(I12:I46)</f>
        <v>1006</v>
      </c>
      <c r="J48" s="21" t="s">
        <v>0</v>
      </c>
      <c r="L48" s="19" t="s">
        <v>4</v>
      </c>
      <c r="M48" s="20"/>
      <c r="N48" s="24">
        <f>SUM(N12:N46)*1000</f>
        <v>1089.68</v>
      </c>
      <c r="O48" s="21" t="s">
        <v>0</v>
      </c>
      <c r="Q48" s="19" t="s">
        <v>4</v>
      </c>
      <c r="R48" s="20"/>
      <c r="S48" s="24">
        <f>SUM(S12:S46)</f>
        <v>1139.6199999999999</v>
      </c>
      <c r="T48" s="21" t="s">
        <v>0</v>
      </c>
      <c r="V48" s="19" t="s">
        <v>4</v>
      </c>
      <c r="W48" s="20"/>
      <c r="X48" s="24">
        <f>SUM(X12:X46)*1000</f>
        <v>1007.0094977012916</v>
      </c>
      <c r="Y48" s="21" t="s">
        <v>0</v>
      </c>
      <c r="AA48" s="19" t="s">
        <v>4</v>
      </c>
      <c r="AB48" s="20"/>
      <c r="AC48" s="24">
        <f>SUM(AC12:AC46)</f>
        <v>1054.4367123153929</v>
      </c>
      <c r="AD48" s="21" t="s">
        <v>0</v>
      </c>
      <c r="AF48" s="19" t="s">
        <v>4</v>
      </c>
      <c r="AG48" s="20"/>
      <c r="AH48" s="24">
        <f>SUM(AH12:AH46)*1000</f>
        <v>1078.8881824246555</v>
      </c>
      <c r="AI48" s="21" t="s">
        <v>0</v>
      </c>
      <c r="AK48" s="19" t="s">
        <v>4</v>
      </c>
      <c r="AL48" s="20"/>
      <c r="AM48" s="24">
        <f>SUM(AM12:AM46)</f>
        <v>1126.8047166292781</v>
      </c>
      <c r="AN48" s="21" t="s">
        <v>0</v>
      </c>
    </row>
    <row r="49" spans="12:16" x14ac:dyDescent="0.2">
      <c r="L49" s="8"/>
      <c r="M49" s="9"/>
    </row>
    <row r="50" spans="12:16" x14ac:dyDescent="0.2">
      <c r="L50" s="8"/>
      <c r="M50" s="9"/>
    </row>
    <row r="51" spans="12:16" x14ac:dyDescent="0.2">
      <c r="L51" s="8"/>
      <c r="M51" s="9"/>
    </row>
    <row r="52" spans="12:16" x14ac:dyDescent="0.2">
      <c r="L52" s="8"/>
      <c r="M52" s="9"/>
    </row>
    <row r="53" spans="12:16" x14ac:dyDescent="0.2">
      <c r="L53" s="8"/>
      <c r="M53" s="9"/>
    </row>
    <row r="54" spans="12:16" x14ac:dyDescent="0.2">
      <c r="L54" s="8"/>
      <c r="M54" s="9"/>
    </row>
    <row r="55" spans="12:16" x14ac:dyDescent="0.2">
      <c r="L55" s="8"/>
      <c r="M55" s="9"/>
    </row>
    <row r="56" spans="12:16" x14ac:dyDescent="0.2">
      <c r="L56" s="8"/>
      <c r="M56" s="9"/>
    </row>
    <row r="57" spans="12:16" x14ac:dyDescent="0.2">
      <c r="L57" s="8"/>
      <c r="M57" s="9"/>
    </row>
    <row r="58" spans="12:16" x14ac:dyDescent="0.2">
      <c r="L58" s="8"/>
      <c r="M58" s="9"/>
    </row>
    <row r="59" spans="12:16" x14ac:dyDescent="0.2">
      <c r="L59" s="8"/>
      <c r="M59" s="9"/>
    </row>
    <row r="60" spans="12:16" x14ac:dyDescent="0.2">
      <c r="L60" s="8"/>
      <c r="M60" s="9"/>
    </row>
    <row r="61" spans="12:16" x14ac:dyDescent="0.2">
      <c r="L61" s="8"/>
      <c r="M61" s="9"/>
    </row>
    <row r="62" spans="12:16" x14ac:dyDescent="0.2">
      <c r="L62" s="8"/>
      <c r="M62" s="9"/>
    </row>
    <row r="63" spans="12:16" x14ac:dyDescent="0.2">
      <c r="L63" s="8"/>
      <c r="M63" s="9"/>
    </row>
    <row r="64" spans="12:16" x14ac:dyDescent="0.2">
      <c r="L64" s="2"/>
      <c r="M64" s="2"/>
      <c r="N64" s="2"/>
      <c r="O64" s="2"/>
      <c r="P64" s="2"/>
    </row>
    <row r="65" spans="12:28" x14ac:dyDescent="0.2">
      <c r="L65" s="44"/>
      <c r="M65" s="5"/>
      <c r="N65" s="5"/>
      <c r="O65" s="5"/>
      <c r="P65" s="2"/>
    </row>
    <row r="66" spans="12:28" x14ac:dyDescent="0.2">
      <c r="L66" s="45"/>
      <c r="M66" s="45"/>
      <c r="N66" s="46"/>
      <c r="O66" s="46"/>
      <c r="P66" s="2"/>
      <c r="AB66" s="7"/>
    </row>
    <row r="67" spans="12:28" x14ac:dyDescent="0.2">
      <c r="L67" s="45"/>
      <c r="M67" s="45"/>
      <c r="N67" s="46"/>
      <c r="O67" s="46"/>
      <c r="P67" s="2"/>
      <c r="AB67" s="7"/>
    </row>
    <row r="68" spans="12:28" ht="16" x14ac:dyDescent="0.2">
      <c r="L68" s="45"/>
      <c r="M68" s="45"/>
      <c r="N68" s="46"/>
      <c r="O68" s="47"/>
      <c r="P68" s="2"/>
      <c r="AB68" s="7"/>
    </row>
    <row r="69" spans="12:28" ht="16" x14ac:dyDescent="0.2">
      <c r="L69" s="45"/>
      <c r="M69" s="45"/>
      <c r="N69" s="48"/>
      <c r="O69" s="47"/>
      <c r="P69" s="2"/>
      <c r="AB69" s="7"/>
    </row>
    <row r="70" spans="12:28" ht="16" x14ac:dyDescent="0.2">
      <c r="L70" s="45"/>
      <c r="M70" s="45"/>
      <c r="N70" s="48"/>
      <c r="O70" s="47"/>
      <c r="P70" s="2"/>
      <c r="AB70" s="7"/>
    </row>
    <row r="71" spans="12:28" ht="16" x14ac:dyDescent="0.2">
      <c r="L71" s="45"/>
      <c r="M71" s="45"/>
      <c r="N71" s="48"/>
      <c r="O71" s="47"/>
      <c r="P71" s="2"/>
      <c r="AB71" s="7"/>
    </row>
    <row r="72" spans="12:28" ht="16" x14ac:dyDescent="0.2">
      <c r="L72" s="45"/>
      <c r="M72" s="49"/>
      <c r="N72" s="48"/>
      <c r="O72" s="47"/>
      <c r="P72" s="2"/>
      <c r="AB72" s="7"/>
    </row>
    <row r="73" spans="12:28" ht="16" x14ac:dyDescent="0.2">
      <c r="L73" s="45"/>
      <c r="M73" s="50"/>
      <c r="N73" s="48"/>
      <c r="O73" s="47"/>
      <c r="P73" s="2"/>
      <c r="AB73" s="7"/>
    </row>
    <row r="74" spans="12:28" ht="16" x14ac:dyDescent="0.2">
      <c r="L74" s="45"/>
      <c r="M74" s="50"/>
      <c r="N74" s="48"/>
      <c r="O74" s="47"/>
      <c r="P74" s="2"/>
      <c r="AB74" s="7"/>
    </row>
    <row r="75" spans="12:28" ht="16" x14ac:dyDescent="0.2">
      <c r="L75" s="45"/>
      <c r="M75" s="50"/>
      <c r="N75" s="48"/>
      <c r="O75" s="47"/>
      <c r="P75" s="2"/>
      <c r="AB75" s="7"/>
    </row>
    <row r="76" spans="12:28" ht="16" x14ac:dyDescent="0.2">
      <c r="L76" s="45"/>
      <c r="M76" s="50"/>
      <c r="N76" s="48"/>
      <c r="O76" s="47"/>
      <c r="P76" s="2"/>
      <c r="AB76" s="7"/>
    </row>
    <row r="77" spans="12:28" ht="16" x14ac:dyDescent="0.2">
      <c r="L77" s="45"/>
      <c r="M77" s="50"/>
      <c r="N77" s="48"/>
      <c r="O77" s="47"/>
      <c r="P77" s="2"/>
      <c r="AB77" s="7"/>
    </row>
    <row r="78" spans="12:28" ht="16" x14ac:dyDescent="0.2">
      <c r="L78" s="45"/>
      <c r="M78" s="50"/>
      <c r="N78" s="48"/>
      <c r="O78" s="47"/>
      <c r="P78" s="2"/>
      <c r="AB78" s="7"/>
    </row>
    <row r="79" spans="12:28" ht="16" x14ac:dyDescent="0.2">
      <c r="L79" s="45"/>
      <c r="M79" s="50"/>
      <c r="N79" s="48"/>
      <c r="O79" s="47"/>
      <c r="P79" s="2"/>
      <c r="AB79" s="7"/>
    </row>
    <row r="80" spans="12:28" ht="16" x14ac:dyDescent="0.2">
      <c r="L80" s="45"/>
      <c r="M80" s="50"/>
      <c r="N80" s="48"/>
      <c r="O80" s="47"/>
      <c r="P80" s="2"/>
      <c r="AB80" s="7"/>
    </row>
    <row r="81" spans="12:28" ht="16" x14ac:dyDescent="0.2">
      <c r="L81" s="51"/>
      <c r="M81" s="50"/>
      <c r="N81" s="48"/>
      <c r="O81" s="47"/>
      <c r="P81" s="2"/>
      <c r="AB81" s="7"/>
    </row>
    <row r="82" spans="12:28" ht="16" x14ac:dyDescent="0.2">
      <c r="L82" s="51"/>
      <c r="M82" s="50"/>
      <c r="N82" s="48"/>
      <c r="O82" s="47"/>
      <c r="P82" s="2"/>
    </row>
    <row r="83" spans="12:28" ht="16" x14ac:dyDescent="0.2">
      <c r="L83" s="51"/>
      <c r="M83" s="50"/>
      <c r="N83" s="48"/>
      <c r="O83" s="47"/>
      <c r="P83" s="2"/>
    </row>
    <row r="84" spans="12:28" ht="16" x14ac:dyDescent="0.2">
      <c r="L84" s="51"/>
      <c r="M84" s="50"/>
      <c r="N84" s="44"/>
      <c r="O84" s="5"/>
      <c r="P84" s="2"/>
    </row>
    <row r="85" spans="12:28" x14ac:dyDescent="0.2">
      <c r="L85" s="2"/>
      <c r="M85" s="2"/>
      <c r="N85" s="2"/>
      <c r="O85" s="2"/>
      <c r="P85" s="2"/>
    </row>
    <row r="86" spans="12:28" x14ac:dyDescent="0.2">
      <c r="L86" s="2"/>
      <c r="M86" s="2"/>
      <c r="N86" s="2"/>
      <c r="O86" s="2"/>
      <c r="P86" s="2"/>
    </row>
    <row r="95" spans="12:28" x14ac:dyDescent="0.2">
      <c r="P95" s="25"/>
      <c r="U95" s="25"/>
      <c r="Y95" s="25"/>
    </row>
    <row r="96" spans="12:28" x14ac:dyDescent="0.2">
      <c r="P96" s="25"/>
      <c r="U96" s="25"/>
      <c r="Y96" s="25"/>
    </row>
    <row r="97" spans="15:25" x14ac:dyDescent="0.2">
      <c r="U97" s="25"/>
      <c r="Y97" s="25"/>
    </row>
    <row r="98" spans="15:25" x14ac:dyDescent="0.2">
      <c r="U98" s="25"/>
      <c r="Y98" s="25"/>
    </row>
    <row r="99" spans="15:25" x14ac:dyDescent="0.2">
      <c r="O99" s="25"/>
      <c r="T99" s="25"/>
      <c r="U99" s="25"/>
      <c r="Y99" s="25"/>
    </row>
    <row r="100" spans="15:25" x14ac:dyDescent="0.2">
      <c r="U100" s="25"/>
      <c r="Y100" s="25"/>
    </row>
    <row r="101" spans="15:25" x14ac:dyDescent="0.2">
      <c r="U101" s="25"/>
      <c r="Y101" s="25"/>
    </row>
    <row r="102" spans="15:25" x14ac:dyDescent="0.2">
      <c r="U102" s="25"/>
      <c r="Y102" s="25"/>
    </row>
    <row r="103" spans="15:25" x14ac:dyDescent="0.2">
      <c r="U103" s="25"/>
      <c r="Y103" s="25"/>
    </row>
    <row r="104" spans="15:25" x14ac:dyDescent="0.2">
      <c r="U104" s="25"/>
      <c r="Y104" s="25"/>
    </row>
    <row r="105" spans="15:25" x14ac:dyDescent="0.2">
      <c r="U105" s="25"/>
      <c r="Y105" s="25"/>
    </row>
    <row r="106" spans="15:25" x14ac:dyDescent="0.2">
      <c r="U106" s="25"/>
      <c r="Y106" s="25"/>
    </row>
    <row r="107" spans="15:25" x14ac:dyDescent="0.2">
      <c r="U107" s="25"/>
      <c r="Y107" s="25"/>
    </row>
    <row r="108" spans="15:25" x14ac:dyDescent="0.2">
      <c r="U108" s="25"/>
      <c r="Y108" s="25"/>
    </row>
    <row r="109" spans="15:25" x14ac:dyDescent="0.2">
      <c r="U109" s="25"/>
      <c r="Y109" s="25"/>
    </row>
    <row r="110" spans="15:25" x14ac:dyDescent="0.2">
      <c r="U110" s="25"/>
      <c r="Y110" s="25"/>
    </row>
    <row r="111" spans="15:25" x14ac:dyDescent="0.2">
      <c r="U111" s="25"/>
      <c r="Y111" s="25"/>
    </row>
    <row r="112" spans="15:25" x14ac:dyDescent="0.2">
      <c r="U112" s="25"/>
      <c r="Y112" s="25"/>
    </row>
    <row r="113" spans="21:25" x14ac:dyDescent="0.2">
      <c r="U113" s="25"/>
      <c r="Y113" s="25"/>
    </row>
    <row r="114" spans="21:25" x14ac:dyDescent="0.2">
      <c r="U114" s="25"/>
      <c r="Y114" s="25"/>
    </row>
    <row r="115" spans="21:25" x14ac:dyDescent="0.2">
      <c r="U115" s="25"/>
      <c r="Y115" s="25"/>
    </row>
    <row r="116" spans="21:25" x14ac:dyDescent="0.2">
      <c r="U116" s="25"/>
      <c r="Y116" s="25"/>
    </row>
    <row r="117" spans="21:25" x14ac:dyDescent="0.2">
      <c r="U117" s="25"/>
      <c r="Y117" s="25"/>
    </row>
    <row r="118" spans="21:25" x14ac:dyDescent="0.2">
      <c r="U118" s="25"/>
      <c r="Y118" s="25"/>
    </row>
    <row r="119" spans="21:25" x14ac:dyDescent="0.2">
      <c r="U119" s="25"/>
      <c r="Y119" s="25"/>
    </row>
    <row r="120" spans="21:25" x14ac:dyDescent="0.2">
      <c r="U120" s="25"/>
      <c r="Y120" s="25"/>
    </row>
    <row r="121" spans="21:25" x14ac:dyDescent="0.2">
      <c r="U121" s="25"/>
      <c r="Y121" s="25"/>
    </row>
    <row r="122" spans="21:25" x14ac:dyDescent="0.2">
      <c r="U122" s="25"/>
      <c r="Y122" s="25"/>
    </row>
    <row r="123" spans="21:25" x14ac:dyDescent="0.2">
      <c r="U123" s="25"/>
      <c r="Y123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AG55"/>
  <sheetViews>
    <sheetView tabSelected="1" zoomScale="75" zoomScaleNormal="75" workbookViewId="0">
      <selection activeCell="B49" sqref="B49:E49"/>
    </sheetView>
  </sheetViews>
  <sheetFormatPr baseColWidth="10" defaultColWidth="8.83203125" defaultRowHeight="15" x14ac:dyDescent="0.2"/>
  <cols>
    <col min="1" max="1" width="0.83203125" customWidth="1"/>
    <col min="2" max="2" width="33" customWidth="1"/>
    <col min="3" max="3" width="8.6640625" customWidth="1"/>
    <col min="4" max="4" width="10.5" bestFit="1" customWidth="1"/>
    <col min="5" max="5" width="7.1640625" customWidth="1"/>
    <col min="6" max="6" width="8.1640625" bestFit="1" customWidth="1"/>
    <col min="7" max="7" width="7.5" bestFit="1" customWidth="1"/>
    <col min="8" max="8" width="8.1640625" bestFit="1" customWidth="1"/>
    <col min="9" max="9" width="8.1640625" customWidth="1"/>
    <col min="10" max="10" width="7.5" bestFit="1" customWidth="1"/>
    <col min="11" max="11" width="8.1640625" bestFit="1" customWidth="1"/>
    <col min="12" max="12" width="7.5" bestFit="1" customWidth="1"/>
    <col min="13" max="13" width="7.83203125" customWidth="1"/>
    <col min="14" max="14" width="7.5" customWidth="1"/>
    <col min="15" max="15" width="8.1640625" bestFit="1" customWidth="1"/>
    <col min="16" max="16" width="7.5" bestFit="1" customWidth="1"/>
    <col min="17" max="17" width="8.1640625" bestFit="1" customWidth="1"/>
    <col min="18" max="18" width="8.1640625" customWidth="1"/>
    <col min="19" max="19" width="7.5" bestFit="1" customWidth="1"/>
    <col min="20" max="20" width="8.1640625" bestFit="1" customWidth="1"/>
    <col min="21" max="21" width="7.5" bestFit="1" customWidth="1"/>
    <col min="22" max="22" width="7.83203125" customWidth="1"/>
    <col min="23" max="23" width="7.5" customWidth="1"/>
    <col min="24" max="24" width="2.1640625" customWidth="1"/>
    <col min="25" max="25" width="7.5" bestFit="1" customWidth="1"/>
    <col min="26" max="26" width="8.1640625" bestFit="1" customWidth="1"/>
    <col min="27" max="27" width="7.5" bestFit="1" customWidth="1"/>
    <col min="28" max="28" width="8.1640625" bestFit="1" customWidth="1"/>
    <col min="29" max="29" width="7.5" bestFit="1" customWidth="1"/>
    <col min="30" max="30" width="9.83203125" customWidth="1"/>
    <col min="31" max="31" width="9" customWidth="1"/>
  </cols>
  <sheetData>
    <row r="1" spans="2:33" ht="8.5" customHeight="1" thickBot="1" x14ac:dyDescent="0.25"/>
    <row r="2" spans="2:33" ht="16" thickBot="1" x14ac:dyDescent="0.25">
      <c r="B2" s="820" t="s">
        <v>588</v>
      </c>
      <c r="C2" s="821"/>
      <c r="D2" s="821"/>
      <c r="E2" s="822"/>
      <c r="F2" s="812" t="s">
        <v>485</v>
      </c>
      <c r="G2" s="813"/>
      <c r="H2" s="813"/>
      <c r="I2" s="813"/>
      <c r="J2" s="813"/>
      <c r="K2" s="814"/>
      <c r="L2" s="814"/>
      <c r="M2" s="509"/>
      <c r="N2" s="509"/>
      <c r="O2" s="817" t="s">
        <v>119</v>
      </c>
      <c r="P2" s="818"/>
      <c r="Q2" s="818"/>
      <c r="R2" s="818"/>
      <c r="S2" s="818"/>
      <c r="T2" s="818"/>
      <c r="U2" s="818"/>
      <c r="V2" s="818"/>
      <c r="W2" s="819"/>
      <c r="Y2" s="551" t="s">
        <v>481</v>
      </c>
      <c r="Z2" s="552"/>
      <c r="AA2" s="552"/>
      <c r="AB2" s="552"/>
      <c r="AC2" s="552"/>
      <c r="AD2" s="577" t="s">
        <v>396</v>
      </c>
      <c r="AE2" s="578" t="s">
        <v>397</v>
      </c>
      <c r="AF2" s="550"/>
    </row>
    <row r="3" spans="2:33" x14ac:dyDescent="0.2">
      <c r="B3" s="823"/>
      <c r="C3" s="824"/>
      <c r="D3" s="824"/>
      <c r="E3" s="825"/>
      <c r="F3" s="430" t="s">
        <v>95</v>
      </c>
      <c r="G3" s="431" t="s">
        <v>94</v>
      </c>
      <c r="H3" s="815" t="s">
        <v>401</v>
      </c>
      <c r="I3" s="815"/>
      <c r="J3" s="431" t="s">
        <v>402</v>
      </c>
      <c r="K3" s="431" t="s">
        <v>92</v>
      </c>
      <c r="L3" s="510" t="s">
        <v>93</v>
      </c>
      <c r="M3" s="431" t="s">
        <v>424</v>
      </c>
      <c r="N3" s="510" t="s">
        <v>425</v>
      </c>
      <c r="O3" s="430" t="s">
        <v>95</v>
      </c>
      <c r="P3" s="431" t="s">
        <v>94</v>
      </c>
      <c r="Q3" s="815" t="s">
        <v>401</v>
      </c>
      <c r="R3" s="816"/>
      <c r="S3" s="431" t="s">
        <v>402</v>
      </c>
      <c r="T3" s="431" t="s">
        <v>92</v>
      </c>
      <c r="U3" s="431" t="s">
        <v>93</v>
      </c>
      <c r="V3" s="431" t="s">
        <v>424</v>
      </c>
      <c r="W3" s="432" t="s">
        <v>425</v>
      </c>
      <c r="Y3" s="581" t="s">
        <v>120</v>
      </c>
      <c r="Z3" s="582"/>
      <c r="AA3" s="583"/>
      <c r="AB3" s="584">
        <f>'HE1'!E24</f>
        <v>36.69615096601941</v>
      </c>
      <c r="AC3" s="585" t="s">
        <v>1</v>
      </c>
      <c r="AD3" s="586">
        <v>0.8</v>
      </c>
      <c r="AE3" s="587">
        <f t="shared" ref="AE3:AE8" si="0">AB3/AD3</f>
        <v>45.870188707524257</v>
      </c>
      <c r="AF3" s="588" t="s">
        <v>1</v>
      </c>
    </row>
    <row r="4" spans="2:33" x14ac:dyDescent="0.2">
      <c r="B4" s="206" t="s">
        <v>633</v>
      </c>
      <c r="C4" s="207"/>
      <c r="D4" s="207" t="s">
        <v>98</v>
      </c>
      <c r="E4" s="207"/>
      <c r="F4" s="212"/>
      <c r="G4" s="210"/>
      <c r="H4" s="210" t="s">
        <v>281</v>
      </c>
      <c r="I4" s="210" t="s">
        <v>282</v>
      </c>
      <c r="J4" s="210"/>
      <c r="K4" s="210"/>
      <c r="L4" s="218"/>
      <c r="M4" s="210"/>
      <c r="N4" s="218"/>
      <c r="O4" s="212"/>
      <c r="P4" s="210"/>
      <c r="Q4" s="210" t="s">
        <v>281</v>
      </c>
      <c r="R4" s="218" t="s">
        <v>282</v>
      </c>
      <c r="S4" s="210"/>
      <c r="T4" s="210"/>
      <c r="U4" s="210"/>
      <c r="V4" s="210"/>
      <c r="W4" s="211"/>
      <c r="Y4" s="557" t="s">
        <v>121</v>
      </c>
      <c r="Z4" s="558"/>
      <c r="AA4" s="559"/>
      <c r="AB4" s="560">
        <f>'HE2'!E24</f>
        <v>28.304711865427432</v>
      </c>
      <c r="AC4" s="561" t="s">
        <v>1</v>
      </c>
      <c r="AD4" s="497">
        <v>0.8</v>
      </c>
      <c r="AE4" s="568">
        <f t="shared" si="0"/>
        <v>35.380889831784287</v>
      </c>
      <c r="AF4" s="575" t="s">
        <v>1</v>
      </c>
    </row>
    <row r="5" spans="2:33" x14ac:dyDescent="0.2">
      <c r="B5" s="96" t="s">
        <v>66</v>
      </c>
      <c r="C5" s="93" t="s">
        <v>66</v>
      </c>
      <c r="D5" s="98">
        <v>28.97</v>
      </c>
      <c r="E5" s="203" t="s">
        <v>70</v>
      </c>
      <c r="F5" s="353">
        <v>1</v>
      </c>
      <c r="G5" s="146"/>
      <c r="H5" s="93"/>
      <c r="I5" s="93"/>
      <c r="J5" s="146">
        <f>F5</f>
        <v>1</v>
      </c>
      <c r="K5" s="93"/>
      <c r="L5" s="348"/>
      <c r="M5" s="93"/>
      <c r="N5" s="348"/>
      <c r="O5" s="352">
        <f>F5*$D5</f>
        <v>28.97</v>
      </c>
      <c r="P5" s="146"/>
      <c r="Q5" s="94"/>
      <c r="R5" s="94"/>
      <c r="S5" s="146">
        <f t="shared" ref="P5:U9" si="1">J5*$D5</f>
        <v>28.97</v>
      </c>
      <c r="T5" s="94"/>
      <c r="U5" s="146"/>
      <c r="V5" s="94"/>
      <c r="W5" s="347"/>
      <c r="Y5" s="562" t="s">
        <v>482</v>
      </c>
      <c r="Z5" s="563"/>
      <c r="AA5" s="564"/>
      <c r="AB5" s="560">
        <f>'HE3'!E24</f>
        <v>5.3902308490750768</v>
      </c>
      <c r="AC5" s="561" t="s">
        <v>1</v>
      </c>
      <c r="AD5" s="497">
        <v>0.8</v>
      </c>
      <c r="AE5" s="568">
        <f t="shared" si="0"/>
        <v>6.7377885613438453</v>
      </c>
      <c r="AF5" s="575" t="s">
        <v>1</v>
      </c>
    </row>
    <row r="6" spans="2:33" x14ac:dyDescent="0.2">
      <c r="B6" s="96" t="s">
        <v>73</v>
      </c>
      <c r="C6" s="93" t="s">
        <v>67</v>
      </c>
      <c r="D6" s="98">
        <v>31.998799999999999</v>
      </c>
      <c r="E6" s="203" t="s">
        <v>70</v>
      </c>
      <c r="F6" s="352"/>
      <c r="G6" s="146"/>
      <c r="H6" s="93"/>
      <c r="I6" s="93"/>
      <c r="J6" s="54">
        <v>0.36</v>
      </c>
      <c r="K6" s="93"/>
      <c r="L6" s="348"/>
      <c r="M6" s="93"/>
      <c r="N6" s="348"/>
      <c r="O6" s="352"/>
      <c r="P6" s="146"/>
      <c r="Q6" s="94"/>
      <c r="R6" s="94"/>
      <c r="S6" s="146">
        <f t="shared" si="1"/>
        <v>11.519568</v>
      </c>
      <c r="T6" s="94"/>
      <c r="U6" s="146"/>
      <c r="V6" s="94"/>
      <c r="W6" s="347"/>
      <c r="Y6" s="565" t="s">
        <v>122</v>
      </c>
      <c r="Z6" s="566"/>
      <c r="AA6" s="567"/>
      <c r="AB6" s="568">
        <f>Boiler!D20</f>
        <v>8.1798302520957265</v>
      </c>
      <c r="AC6" s="561" t="s">
        <v>1</v>
      </c>
      <c r="AD6" s="497">
        <v>1</v>
      </c>
      <c r="AE6" s="568">
        <f t="shared" si="0"/>
        <v>8.1798302520957265</v>
      </c>
      <c r="AF6" s="575" t="s">
        <v>1</v>
      </c>
    </row>
    <row r="7" spans="2:33" x14ac:dyDescent="0.2">
      <c r="B7" s="96" t="s">
        <v>503</v>
      </c>
      <c r="C7" s="93" t="s">
        <v>68</v>
      </c>
      <c r="D7" s="98">
        <v>18.015280000000001</v>
      </c>
      <c r="E7" s="203" t="s">
        <v>70</v>
      </c>
      <c r="F7" s="352"/>
      <c r="G7" s="95">
        <v>0.18</v>
      </c>
      <c r="H7" s="95">
        <v>0.88</v>
      </c>
      <c r="I7" s="94">
        <f>($D$17/100)*G7</f>
        <v>2.1599999999999998E-2</v>
      </c>
      <c r="J7" s="146"/>
      <c r="K7" s="98">
        <f>'CON1.2'!P37</f>
        <v>1.2E-2</v>
      </c>
      <c r="L7" s="772">
        <v>0.32</v>
      </c>
      <c r="M7" s="98">
        <f>'CON3'!P37</f>
        <v>1.2000000000000009E-2</v>
      </c>
      <c r="N7" s="512">
        <v>0.06</v>
      </c>
      <c r="O7" s="352"/>
      <c r="P7" s="146">
        <f t="shared" si="1"/>
        <v>3.2427503999999998</v>
      </c>
      <c r="Q7" s="94">
        <f t="shared" si="1"/>
        <v>15.853446400000001</v>
      </c>
      <c r="R7" s="94">
        <f t="shared" si="1"/>
        <v>0.38913004799999995</v>
      </c>
      <c r="S7" s="146"/>
      <c r="T7" s="94">
        <f t="shared" si="1"/>
        <v>0.21618336000000002</v>
      </c>
      <c r="U7" s="146">
        <f t="shared" si="1"/>
        <v>5.7648896000000001</v>
      </c>
      <c r="V7" s="94">
        <f t="shared" ref="V7" si="2">M7*$D7</f>
        <v>0.21618336000000016</v>
      </c>
      <c r="W7" s="347">
        <f t="shared" ref="W7:W9" si="3">N7*$D7</f>
        <v>1.0809168</v>
      </c>
      <c r="Y7" s="553" t="s">
        <v>132</v>
      </c>
      <c r="Z7" s="554"/>
      <c r="AA7" s="555"/>
      <c r="AB7" s="568">
        <f>Boiler!D25</f>
        <v>4.6635554826666672</v>
      </c>
      <c r="AC7" s="561" t="s">
        <v>1</v>
      </c>
      <c r="AD7" s="497">
        <v>0.8</v>
      </c>
      <c r="AE7" s="568">
        <f t="shared" si="0"/>
        <v>5.8294443533333338</v>
      </c>
      <c r="AF7" s="575" t="s">
        <v>1</v>
      </c>
      <c r="AG7" s="1"/>
    </row>
    <row r="8" spans="2:33" x14ac:dyDescent="0.2">
      <c r="B8" s="96" t="s">
        <v>74</v>
      </c>
      <c r="C8" s="93" t="s">
        <v>69</v>
      </c>
      <c r="D8" s="98">
        <v>2.0158800000000001</v>
      </c>
      <c r="E8" s="203" t="s">
        <v>70</v>
      </c>
      <c r="F8" s="352"/>
      <c r="G8" s="95">
        <v>0.81499999999999995</v>
      </c>
      <c r="H8" s="94"/>
      <c r="I8" s="94">
        <f>($D$17/100)*G8</f>
        <v>9.7799999999999984E-2</v>
      </c>
      <c r="J8" s="146"/>
      <c r="K8" s="98">
        <f>((100-D17)/100)*G8</f>
        <v>0.71719999999999995</v>
      </c>
      <c r="L8" s="512">
        <v>9.6000000000000002E-2</v>
      </c>
      <c r="M8" s="93">
        <f>L8</f>
        <v>9.6000000000000002E-2</v>
      </c>
      <c r="N8" s="771">
        <v>0</v>
      </c>
      <c r="O8" s="352"/>
      <c r="P8" s="146">
        <f t="shared" si="1"/>
        <v>1.6429422</v>
      </c>
      <c r="Q8" s="94"/>
      <c r="R8" s="94">
        <f t="shared" si="1"/>
        <v>0.19715306399999999</v>
      </c>
      <c r="S8" s="146"/>
      <c r="T8" s="94">
        <f t="shared" si="1"/>
        <v>1.4457891359999999</v>
      </c>
      <c r="U8" s="146">
        <f t="shared" ref="U8:U9" si="4">L8*$D8</f>
        <v>0.19352448000000003</v>
      </c>
      <c r="V8" s="94">
        <f t="shared" ref="V8:V9" si="5">M8*$D8</f>
        <v>0.19352448000000003</v>
      </c>
      <c r="W8" s="347">
        <f t="shared" si="3"/>
        <v>0</v>
      </c>
      <c r="Y8" s="557" t="s">
        <v>483</v>
      </c>
      <c r="Z8" s="558"/>
      <c r="AA8" s="559"/>
      <c r="AB8" s="568">
        <f>'HE5'!E24</f>
        <v>-1.1606640925301654</v>
      </c>
      <c r="AC8" s="561" t="s">
        <v>1</v>
      </c>
      <c r="AD8" s="497">
        <v>0.8</v>
      </c>
      <c r="AE8" s="568">
        <f t="shared" si="0"/>
        <v>-1.4508301156627068</v>
      </c>
      <c r="AF8" s="575" t="s">
        <v>1</v>
      </c>
      <c r="AG8" s="1"/>
    </row>
    <row r="9" spans="2:33" x14ac:dyDescent="0.2">
      <c r="B9" s="96" t="s">
        <v>75</v>
      </c>
      <c r="C9" s="93" t="s">
        <v>72</v>
      </c>
      <c r="D9" s="98">
        <v>44.01</v>
      </c>
      <c r="E9" s="203" t="s">
        <v>70</v>
      </c>
      <c r="F9" s="96"/>
      <c r="G9" s="57"/>
      <c r="H9" s="93"/>
      <c r="I9" s="94"/>
      <c r="J9" s="146"/>
      <c r="K9" s="800">
        <v>0.18</v>
      </c>
      <c r="L9" s="512">
        <v>2.4E-2</v>
      </c>
      <c r="M9" s="93">
        <f>L9</f>
        <v>2.4E-2</v>
      </c>
      <c r="N9" s="771">
        <v>0</v>
      </c>
      <c r="O9" s="352"/>
      <c r="P9" s="146"/>
      <c r="Q9" s="94"/>
      <c r="R9" s="94"/>
      <c r="S9" s="146"/>
      <c r="T9" s="94">
        <f t="shared" si="1"/>
        <v>7.9217999999999993</v>
      </c>
      <c r="U9" s="146">
        <f t="shared" si="4"/>
        <v>1.0562400000000001</v>
      </c>
      <c r="V9" s="94">
        <f t="shared" si="5"/>
        <v>1.0562400000000001</v>
      </c>
      <c r="W9" s="347">
        <f t="shared" si="3"/>
        <v>0</v>
      </c>
      <c r="Y9" s="557" t="s">
        <v>484</v>
      </c>
      <c r="Z9" s="558"/>
      <c r="AA9" s="559"/>
      <c r="AB9" s="568">
        <f>AE9*AD9</f>
        <v>33.214871429567822</v>
      </c>
      <c r="AC9" s="561" t="s">
        <v>1</v>
      </c>
      <c r="AD9" s="497">
        <v>0.75</v>
      </c>
      <c r="AE9" s="568">
        <f>'CH4 compressors'!V4</f>
        <v>44.286495239423758</v>
      </c>
      <c r="AF9" s="575" t="s">
        <v>1</v>
      </c>
      <c r="AG9" s="1"/>
    </row>
    <row r="10" spans="2:33" x14ac:dyDescent="0.2">
      <c r="B10" s="96" t="s">
        <v>76</v>
      </c>
      <c r="C10" s="93" t="s">
        <v>71</v>
      </c>
      <c r="D10" s="98">
        <v>16.04</v>
      </c>
      <c r="E10" s="203" t="s">
        <v>70</v>
      </c>
      <c r="F10" s="96"/>
      <c r="G10" s="57"/>
      <c r="H10" s="93"/>
      <c r="I10" s="93"/>
      <c r="J10" s="57"/>
      <c r="K10" s="93"/>
      <c r="L10" s="512">
        <v>0.155</v>
      </c>
      <c r="M10" s="93">
        <f>L10</f>
        <v>0.155</v>
      </c>
      <c r="N10" s="512">
        <f>0.18</f>
        <v>0.18</v>
      </c>
      <c r="O10" s="265"/>
      <c r="P10" s="146"/>
      <c r="Q10" s="94"/>
      <c r="R10" s="94"/>
      <c r="S10" s="146"/>
      <c r="T10" s="94"/>
      <c r="U10" s="146">
        <f>L10*$D10</f>
        <v>2.4861999999999997</v>
      </c>
      <c r="V10" s="94">
        <f>M10*$D10</f>
        <v>2.4861999999999997</v>
      </c>
      <c r="W10" s="347">
        <f>N10*$D10</f>
        <v>2.8871999999999995</v>
      </c>
      <c r="Y10" s="562" t="s">
        <v>486</v>
      </c>
      <c r="Z10" s="563"/>
      <c r="AA10" s="564"/>
      <c r="AB10" s="569">
        <f>AE10*AD10</f>
        <v>0.60585194805194797</v>
      </c>
      <c r="AC10" s="561" t="s">
        <v>1</v>
      </c>
      <c r="AD10" s="497">
        <v>0.75</v>
      </c>
      <c r="AE10" s="569">
        <f>'V2'!C34</f>
        <v>0.8078025974025973</v>
      </c>
      <c r="AF10" s="575" t="s">
        <v>1</v>
      </c>
      <c r="AG10" s="1"/>
    </row>
    <row r="11" spans="2:33" ht="16" thickBot="1" x14ac:dyDescent="0.25">
      <c r="B11" s="213"/>
      <c r="C11" s="214"/>
      <c r="D11" s="215"/>
      <c r="E11" s="494"/>
      <c r="F11" s="354"/>
      <c r="G11" s="149"/>
      <c r="H11" s="355"/>
      <c r="I11" s="355"/>
      <c r="J11" s="149"/>
      <c r="K11" s="355"/>
      <c r="L11" s="356"/>
      <c r="M11" s="355"/>
      <c r="N11" s="356"/>
      <c r="O11" s="513"/>
      <c r="P11" s="195"/>
      <c r="Q11" s="515"/>
      <c r="R11" s="515"/>
      <c r="S11" s="195"/>
      <c r="T11" s="515"/>
      <c r="U11" s="195"/>
      <c r="V11" s="515"/>
      <c r="W11" s="514"/>
      <c r="Y11" s="590" t="s">
        <v>226</v>
      </c>
      <c r="Z11" s="591"/>
      <c r="AA11" s="592"/>
      <c r="AB11" s="593">
        <f>AE11*AD11</f>
        <v>0.7123481915733334</v>
      </c>
      <c r="AC11" s="594" t="s">
        <v>1</v>
      </c>
      <c r="AD11" s="595">
        <v>0.75</v>
      </c>
      <c r="AE11" s="593">
        <f>Boiler!D31</f>
        <v>0.94979758876444453</v>
      </c>
      <c r="AF11" s="596" t="s">
        <v>1</v>
      </c>
    </row>
    <row r="12" spans="2:33" ht="16" thickBot="1" x14ac:dyDescent="0.25">
      <c r="B12" s="216" t="s">
        <v>97</v>
      </c>
      <c r="C12" s="217"/>
      <c r="D12" s="217"/>
      <c r="E12" s="217"/>
      <c r="F12" s="495"/>
      <c r="G12" s="495"/>
      <c r="H12" s="495"/>
      <c r="I12" s="495"/>
      <c r="J12" s="495"/>
      <c r="K12" s="495"/>
      <c r="L12" s="495"/>
      <c r="M12" s="495"/>
      <c r="N12" s="495"/>
      <c r="O12" s="493">
        <v>1.03</v>
      </c>
      <c r="P12" s="492">
        <v>1.02</v>
      </c>
      <c r="Q12" s="492">
        <v>1.03</v>
      </c>
      <c r="R12" s="492">
        <v>1.0149999999999999</v>
      </c>
      <c r="S12" s="492">
        <v>1.02</v>
      </c>
      <c r="T12" s="511">
        <v>4.8</v>
      </c>
      <c r="U12" s="601">
        <v>3</v>
      </c>
      <c r="V12" s="602">
        <v>3</v>
      </c>
      <c r="W12" s="736">
        <v>2.5</v>
      </c>
      <c r="X12" s="1"/>
      <c r="Y12" s="565" t="s">
        <v>227</v>
      </c>
      <c r="Z12" s="566"/>
      <c r="AA12" s="567"/>
      <c r="AB12" s="573">
        <f>SUM(AB3:AB11)</f>
        <v>116.60688689194724</v>
      </c>
      <c r="AC12" s="556" t="s">
        <v>1</v>
      </c>
      <c r="AD12" s="589"/>
      <c r="AE12" s="573">
        <f>SUM(AE3:AE11)</f>
        <v>146.59140701600955</v>
      </c>
      <c r="AF12" s="574" t="s">
        <v>1</v>
      </c>
    </row>
    <row r="13" spans="2:33" ht="16" thickBot="1" x14ac:dyDescent="0.25">
      <c r="Y13" s="570" t="s">
        <v>395</v>
      </c>
      <c r="Z13" s="571"/>
      <c r="AA13" s="571"/>
      <c r="AB13" s="612"/>
      <c r="AC13" s="572"/>
      <c r="AD13" s="496"/>
      <c r="AE13" s="612">
        <f>100-(100*AE12/(D16))</f>
        <v>95.113619766133013</v>
      </c>
      <c r="AF13" s="576" t="s">
        <v>77</v>
      </c>
      <c r="AG13" t="s">
        <v>394</v>
      </c>
    </row>
    <row r="14" spans="2:33" ht="7.25" customHeight="1" thickBot="1" x14ac:dyDescent="0.25"/>
    <row r="15" spans="2:33" ht="21" x14ac:dyDescent="0.25">
      <c r="B15" s="251" t="s">
        <v>112</v>
      </c>
      <c r="C15" s="204"/>
      <c r="D15" s="204"/>
      <c r="E15" s="205"/>
      <c r="G15" s="99" t="s">
        <v>406</v>
      </c>
      <c r="S15" s="99" t="s">
        <v>411</v>
      </c>
    </row>
    <row r="16" spans="2:33" ht="17" x14ac:dyDescent="0.25">
      <c r="B16" s="253" t="s">
        <v>589</v>
      </c>
      <c r="C16" s="252" t="s">
        <v>501</v>
      </c>
      <c r="D16" s="443">
        <v>3000</v>
      </c>
      <c r="E16" s="254" t="s">
        <v>1</v>
      </c>
    </row>
    <row r="17" spans="2:19" x14ac:dyDescent="0.2">
      <c r="B17" s="253" t="s">
        <v>280</v>
      </c>
      <c r="C17" s="252"/>
      <c r="D17" s="443">
        <v>12</v>
      </c>
      <c r="E17" s="254" t="s">
        <v>77</v>
      </c>
    </row>
    <row r="18" spans="2:19" ht="17" x14ac:dyDescent="0.25">
      <c r="B18" s="212" t="s">
        <v>488</v>
      </c>
      <c r="C18" s="210" t="s">
        <v>96</v>
      </c>
      <c r="D18" s="54">
        <v>21</v>
      </c>
      <c r="E18" s="211" t="s">
        <v>7</v>
      </c>
    </row>
    <row r="19" spans="2:19" ht="17" x14ac:dyDescent="0.25">
      <c r="B19" s="212" t="s">
        <v>496</v>
      </c>
      <c r="C19" s="210" t="s">
        <v>497</v>
      </c>
      <c r="D19" s="312">
        <v>22</v>
      </c>
      <c r="E19" s="211" t="s">
        <v>7</v>
      </c>
    </row>
    <row r="20" spans="2:19" ht="17" x14ac:dyDescent="0.25">
      <c r="B20" s="253" t="s">
        <v>498</v>
      </c>
      <c r="C20" s="210" t="s">
        <v>499</v>
      </c>
      <c r="D20" s="455">
        <v>60</v>
      </c>
      <c r="E20" s="211" t="s">
        <v>177</v>
      </c>
    </row>
    <row r="21" spans="2:19" ht="17" x14ac:dyDescent="0.25">
      <c r="B21" s="212" t="s">
        <v>489</v>
      </c>
      <c r="C21" s="210" t="s">
        <v>27</v>
      </c>
      <c r="D21" s="54">
        <v>725</v>
      </c>
      <c r="E21" s="211" t="s">
        <v>7</v>
      </c>
    </row>
    <row r="22" spans="2:19" ht="17" x14ac:dyDescent="0.25">
      <c r="B22" s="212" t="s">
        <v>490</v>
      </c>
      <c r="C22" s="210" t="s">
        <v>467</v>
      </c>
      <c r="D22" s="579">
        <v>230</v>
      </c>
      <c r="E22" s="211" t="s">
        <v>7</v>
      </c>
    </row>
    <row r="23" spans="2:19" ht="17" x14ac:dyDescent="0.25">
      <c r="B23" s="212" t="s">
        <v>491</v>
      </c>
      <c r="C23" s="210" t="s">
        <v>500</v>
      </c>
      <c r="D23" s="428">
        <f>MAX(Boiler!U41:U58)</f>
        <v>27.96</v>
      </c>
      <c r="E23" s="211" t="s">
        <v>177</v>
      </c>
    </row>
    <row r="24" spans="2:19" ht="17" x14ac:dyDescent="0.25">
      <c r="B24" s="429" t="s">
        <v>492</v>
      </c>
      <c r="C24" s="210" t="s">
        <v>487</v>
      </c>
      <c r="D24" s="312">
        <v>235</v>
      </c>
      <c r="E24" s="211" t="s">
        <v>7</v>
      </c>
    </row>
    <row r="25" spans="2:19" ht="17" x14ac:dyDescent="0.25">
      <c r="B25" s="253" t="s">
        <v>522</v>
      </c>
      <c r="C25" s="437" t="s">
        <v>523</v>
      </c>
      <c r="D25" s="614">
        <v>80</v>
      </c>
      <c r="E25" s="254" t="s">
        <v>177</v>
      </c>
    </row>
    <row r="26" spans="2:19" ht="17" x14ac:dyDescent="0.25">
      <c r="B26" s="253" t="s">
        <v>556</v>
      </c>
      <c r="C26" s="437" t="s">
        <v>499</v>
      </c>
      <c r="D26" s="614">
        <v>7</v>
      </c>
      <c r="E26" s="254" t="s">
        <v>177</v>
      </c>
    </row>
    <row r="27" spans="2:19" ht="16.25" customHeight="1" x14ac:dyDescent="0.25">
      <c r="B27" s="212" t="s">
        <v>493</v>
      </c>
      <c r="C27" s="210" t="s">
        <v>468</v>
      </c>
      <c r="D27" s="54">
        <v>230</v>
      </c>
      <c r="E27" s="211" t="s">
        <v>7</v>
      </c>
      <c r="G27" s="99" t="s">
        <v>505</v>
      </c>
      <c r="S27" s="99" t="s">
        <v>504</v>
      </c>
    </row>
    <row r="28" spans="2:19" ht="16.25" customHeight="1" x14ac:dyDescent="0.25">
      <c r="B28" s="212" t="s">
        <v>456</v>
      </c>
      <c r="C28" s="210" t="s">
        <v>469</v>
      </c>
      <c r="D28" s="54">
        <v>429</v>
      </c>
      <c r="E28" s="211" t="s">
        <v>1</v>
      </c>
    </row>
    <row r="29" spans="2:19" ht="16.25" customHeight="1" x14ac:dyDescent="0.25">
      <c r="B29" s="212" t="s">
        <v>494</v>
      </c>
      <c r="C29" s="210" t="s">
        <v>470</v>
      </c>
      <c r="D29" s="54">
        <v>230</v>
      </c>
      <c r="E29" s="211" t="s">
        <v>7</v>
      </c>
    </row>
    <row r="30" spans="2:19" ht="16.25" customHeight="1" thickBot="1" x14ac:dyDescent="0.3">
      <c r="B30" s="255" t="s">
        <v>495</v>
      </c>
      <c r="C30" s="256" t="s">
        <v>471</v>
      </c>
      <c r="D30" s="522">
        <v>443</v>
      </c>
      <c r="E30" s="257" t="s">
        <v>7</v>
      </c>
    </row>
    <row r="31" spans="2:19" ht="16" thickBot="1" x14ac:dyDescent="0.25"/>
    <row r="32" spans="2:19" x14ac:dyDescent="0.2">
      <c r="B32" s="251" t="s">
        <v>113</v>
      </c>
      <c r="C32" s="204"/>
      <c r="D32" s="258"/>
      <c r="E32" s="259"/>
    </row>
    <row r="33" spans="2:19" x14ac:dyDescent="0.2">
      <c r="B33" s="328" t="s">
        <v>114</v>
      </c>
      <c r="C33" s="209"/>
      <c r="D33" s="267">
        <v>2</v>
      </c>
      <c r="E33" s="211"/>
    </row>
    <row r="34" spans="2:19" ht="19" x14ac:dyDescent="0.25">
      <c r="B34" s="328" t="s">
        <v>407</v>
      </c>
      <c r="C34" s="209"/>
      <c r="D34" s="267">
        <v>2</v>
      </c>
      <c r="E34" s="211"/>
      <c r="S34" s="92"/>
    </row>
    <row r="35" spans="2:19" x14ac:dyDescent="0.2">
      <c r="B35" s="330" t="s">
        <v>115</v>
      </c>
      <c r="C35" s="327"/>
      <c r="D35" s="267">
        <v>1</v>
      </c>
      <c r="E35" s="211"/>
    </row>
    <row r="36" spans="2:19" x14ac:dyDescent="0.2">
      <c r="B36" s="329" t="s">
        <v>116</v>
      </c>
      <c r="C36" s="326"/>
      <c r="D36" s="456">
        <v>1</v>
      </c>
      <c r="E36" s="254"/>
    </row>
    <row r="37" spans="2:19" x14ac:dyDescent="0.2">
      <c r="B37" s="329" t="s">
        <v>459</v>
      </c>
      <c r="C37" s="326"/>
      <c r="D37" s="456">
        <v>1</v>
      </c>
      <c r="E37" s="254"/>
    </row>
    <row r="38" spans="2:19" x14ac:dyDescent="0.2">
      <c r="B38" s="328" t="s">
        <v>398</v>
      </c>
      <c r="C38" s="209"/>
      <c r="D38" s="267">
        <v>1</v>
      </c>
      <c r="E38" s="211"/>
    </row>
    <row r="39" spans="2:19" ht="22" thickBot="1" x14ac:dyDescent="0.3">
      <c r="B39" s="331" t="s">
        <v>160</v>
      </c>
      <c r="C39" s="333"/>
      <c r="D39" s="333">
        <f>SUM(D33:D38)</f>
        <v>8</v>
      </c>
      <c r="E39" s="499"/>
      <c r="G39" s="99" t="s">
        <v>426</v>
      </c>
      <c r="S39" s="99" t="s">
        <v>506</v>
      </c>
    </row>
    <row r="40" spans="2:19" ht="16" thickBot="1" x14ac:dyDescent="0.25"/>
    <row r="41" spans="2:19" x14ac:dyDescent="0.2">
      <c r="B41" s="251" t="s">
        <v>117</v>
      </c>
      <c r="C41" s="204"/>
      <c r="D41" s="204"/>
      <c r="E41" s="205"/>
      <c r="P41" s="125"/>
    </row>
    <row r="42" spans="2:19" x14ac:dyDescent="0.2">
      <c r="B42" s="329" t="s">
        <v>114</v>
      </c>
      <c r="C42" s="326"/>
      <c r="D42" s="500">
        <v>0.8</v>
      </c>
      <c r="E42" s="211"/>
    </row>
    <row r="43" spans="2:19" x14ac:dyDescent="0.2">
      <c r="B43" s="328" t="s">
        <v>407</v>
      </c>
      <c r="C43" s="209"/>
      <c r="D43" s="500">
        <v>0.8</v>
      </c>
      <c r="E43" s="211"/>
    </row>
    <row r="44" spans="2:19" x14ac:dyDescent="0.2">
      <c r="B44" s="206" t="s">
        <v>115</v>
      </c>
      <c r="C44" s="498"/>
      <c r="D44" s="500">
        <v>0.8</v>
      </c>
      <c r="E44" s="211"/>
    </row>
    <row r="45" spans="2:19" x14ac:dyDescent="0.2">
      <c r="B45" s="329" t="s">
        <v>116</v>
      </c>
      <c r="C45" s="326"/>
      <c r="D45" s="500">
        <v>0.8</v>
      </c>
      <c r="E45" s="211"/>
    </row>
    <row r="46" spans="2:19" x14ac:dyDescent="0.2">
      <c r="B46" s="329" t="s">
        <v>459</v>
      </c>
      <c r="C46" s="326"/>
      <c r="D46" s="500">
        <v>0.8</v>
      </c>
      <c r="E46" s="211"/>
    </row>
    <row r="47" spans="2:19" ht="16" thickBot="1" x14ac:dyDescent="0.25">
      <c r="B47" s="767" t="s">
        <v>398</v>
      </c>
      <c r="C47" s="768"/>
      <c r="D47" s="533">
        <v>0.8</v>
      </c>
      <c r="E47" s="257"/>
    </row>
    <row r="48" spans="2:19" ht="14.5" customHeight="1" thickBot="1" x14ac:dyDescent="0.25">
      <c r="B48" s="5"/>
      <c r="C48" s="5"/>
      <c r="D48" s="389"/>
      <c r="E48" s="5"/>
    </row>
    <row r="49" spans="2:7" ht="15" customHeight="1" thickBot="1" x14ac:dyDescent="0.25">
      <c r="B49" s="809" t="s">
        <v>118</v>
      </c>
      <c r="C49" s="810"/>
      <c r="D49" s="810"/>
      <c r="E49" s="811"/>
    </row>
    <row r="50" spans="2:7" x14ac:dyDescent="0.2">
      <c r="F50" s="2"/>
    </row>
    <row r="51" spans="2:7" x14ac:dyDescent="0.2">
      <c r="F51" s="279"/>
      <c r="G51" s="263"/>
    </row>
    <row r="55" spans="2:7" ht="21" x14ac:dyDescent="0.25">
      <c r="G55" s="99"/>
    </row>
  </sheetData>
  <scenarios current="2" show="1">
    <scenario name="Solver min Watt for 5 HE" count="3" user="Danny Philips" comment="Gemaakt door Danny Philips op 11/29/2018">
      <inputCells r="D33" val="1"/>
      <inputCells r="D34" val="2"/>
      <inputCells r="D35" val="1"/>
    </scenario>
    <scenario name="Solver min Watt for 6 HE" count="3" user="Danny Philips" comment="Gemaakt door Danny Philips op 11/29/2018">
      <inputCells r="D33" val="1"/>
      <inputCells r="D34" val="2"/>
      <inputCells r="D35" val="1"/>
    </scenario>
    <scenario name="Solver min Watt for 7 HE" count="3" user="Danny Philips" comment="Gemaakt door Danny Philips op 11/29/2018">
      <inputCells r="D33" val="2"/>
      <inputCells r="D34" val="2"/>
      <inputCells r="D35" val="2"/>
    </scenario>
    <scenario name="Solver min Watt for 4 HE" count="3" user="Danny Philips" comment="Gemaakt door Danny Philips op 11/29/2018">
      <inputCells r="D33" val="1"/>
      <inputCells r="D34" val="1"/>
      <inputCells r="D35" val="1"/>
    </scenario>
  </scenarios>
  <mergeCells count="6">
    <mergeCell ref="B49:E49"/>
    <mergeCell ref="F2:L2"/>
    <mergeCell ref="H3:I3"/>
    <mergeCell ref="Q3:R3"/>
    <mergeCell ref="O2:W2"/>
    <mergeCell ref="B2:E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0" verticalDpi="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7"/>
  <dimension ref="B1:AI83"/>
  <sheetViews>
    <sheetView zoomScale="95" zoomScaleNormal="95" workbookViewId="0">
      <selection activeCell="V2" sqref="V2"/>
    </sheetView>
  </sheetViews>
  <sheetFormatPr baseColWidth="10" defaultColWidth="8.83203125" defaultRowHeight="15" x14ac:dyDescent="0.2"/>
  <cols>
    <col min="1" max="1" width="1.6640625" customWidth="1"/>
    <col min="2" max="2" width="8.83203125" customWidth="1"/>
    <col min="3" max="3" width="11.83203125" customWidth="1"/>
    <col min="5" max="5" width="5.83203125" customWidth="1"/>
    <col min="6" max="6" width="1" customWidth="1"/>
    <col min="7" max="7" width="9.33203125" customWidth="1"/>
    <col min="8" max="8" width="13.1640625" customWidth="1"/>
    <col min="9" max="9" width="11.33203125" customWidth="1"/>
    <col min="10" max="10" width="5.1640625" bestFit="1" customWidth="1"/>
    <col min="11" max="11" width="3.1640625" customWidth="1"/>
    <col min="13" max="14" width="8.83203125" customWidth="1"/>
    <col min="21" max="21" width="4.1640625" customWidth="1"/>
    <col min="26" max="26" width="4" customWidth="1"/>
  </cols>
  <sheetData>
    <row r="1" spans="2:35" ht="16" thickBot="1" x14ac:dyDescent="0.25"/>
    <row r="2" spans="2:35" ht="18" thickBot="1" x14ac:dyDescent="0.3">
      <c r="B2" s="40" t="s">
        <v>404</v>
      </c>
      <c r="C2" s="41"/>
      <c r="D2" s="41"/>
      <c r="E2" s="41"/>
      <c r="F2" s="41"/>
      <c r="G2" s="41"/>
      <c r="H2" s="41"/>
      <c r="I2" s="41"/>
      <c r="J2" s="42"/>
      <c r="L2" s="40" t="s">
        <v>518</v>
      </c>
      <c r="M2" s="41"/>
      <c r="N2" s="41"/>
      <c r="O2" s="41"/>
      <c r="P2" s="41"/>
      <c r="Q2" s="41"/>
      <c r="R2" s="41"/>
      <c r="S2" s="41"/>
      <c r="T2" s="42"/>
      <c r="V2" s="40" t="s">
        <v>517</v>
      </c>
      <c r="W2" s="41"/>
      <c r="X2" s="41"/>
      <c r="Y2" s="42"/>
      <c r="AA2" s="40" t="s">
        <v>458</v>
      </c>
      <c r="AB2" s="41"/>
      <c r="AC2" s="41"/>
      <c r="AD2" s="41"/>
      <c r="AE2" s="41"/>
      <c r="AF2" s="41"/>
      <c r="AG2" s="41"/>
      <c r="AH2" s="41"/>
      <c r="AI2" s="42"/>
    </row>
    <row r="3" spans="2:35" ht="16" thickBot="1" x14ac:dyDescent="0.25"/>
    <row r="4" spans="2:35" ht="16" thickBot="1" x14ac:dyDescent="0.25">
      <c r="B4" s="243" t="s">
        <v>80</v>
      </c>
      <c r="C4" s="134"/>
      <c r="D4" s="244">
        <f>'HE1'!I6</f>
        <v>3.2427503999999998</v>
      </c>
      <c r="E4" s="134" t="s">
        <v>2</v>
      </c>
      <c r="F4" s="134"/>
      <c r="G4" s="243" t="s">
        <v>82</v>
      </c>
      <c r="H4" s="134"/>
      <c r="I4" s="244">
        <f>D4/(D4+D5)</f>
        <v>0.66372378810734023</v>
      </c>
      <c r="J4" s="136"/>
      <c r="L4" s="243" t="s">
        <v>80</v>
      </c>
      <c r="M4" s="134"/>
      <c r="N4" s="244">
        <f>'CON1.1'!I6</f>
        <v>2.8536203519999996</v>
      </c>
      <c r="O4" s="134" t="s">
        <v>2</v>
      </c>
      <c r="P4" s="134"/>
      <c r="Q4" s="243" t="s">
        <v>82</v>
      </c>
      <c r="R4" s="134"/>
      <c r="S4" s="244">
        <f>N4/(N4+N5)</f>
        <v>0.66372378810734023</v>
      </c>
      <c r="T4" s="136"/>
      <c r="V4" s="246" t="s">
        <v>176</v>
      </c>
      <c r="W4" s="247"/>
      <c r="X4" s="249">
        <f>X46</f>
        <v>1923.4693877551022</v>
      </c>
      <c r="Y4" s="250" t="s">
        <v>0</v>
      </c>
      <c r="AA4" s="28" t="s">
        <v>80</v>
      </c>
      <c r="AB4" s="29"/>
      <c r="AC4" s="30" t="e">
        <f>#REF!</f>
        <v>#REF!</v>
      </c>
      <c r="AD4" s="29" t="s">
        <v>2</v>
      </c>
      <c r="AE4" s="29"/>
      <c r="AF4" s="28" t="s">
        <v>82</v>
      </c>
      <c r="AG4" s="29"/>
      <c r="AH4" s="30" t="e">
        <f>AC4/(AC4+AC5)</f>
        <v>#REF!</v>
      </c>
      <c r="AI4" s="31"/>
    </row>
    <row r="5" spans="2:35" x14ac:dyDescent="0.2">
      <c r="B5" s="137" t="s">
        <v>84</v>
      </c>
      <c r="C5" s="138"/>
      <c r="D5" s="245">
        <f>'HE1'!I7</f>
        <v>1.6429422</v>
      </c>
      <c r="E5" s="138" t="s">
        <v>2</v>
      </c>
      <c r="F5" s="138"/>
      <c r="G5" s="137" t="s">
        <v>83</v>
      </c>
      <c r="H5" s="138"/>
      <c r="I5" s="245">
        <f>D5/(D4+D5)</f>
        <v>0.33627621189265983</v>
      </c>
      <c r="J5" s="140"/>
      <c r="L5" s="137" t="s">
        <v>84</v>
      </c>
      <c r="M5" s="138"/>
      <c r="N5" s="245">
        <f>'CON1.1'!I7</f>
        <v>1.4457891359999999</v>
      </c>
      <c r="O5" s="138" t="s">
        <v>2</v>
      </c>
      <c r="P5" s="138"/>
      <c r="Q5" s="137" t="s">
        <v>83</v>
      </c>
      <c r="R5" s="138"/>
      <c r="S5" s="245">
        <f>N5/(N4+N5)</f>
        <v>0.33627621189265983</v>
      </c>
      <c r="T5" s="140"/>
      <c r="V5" s="137"/>
      <c r="W5" s="138"/>
      <c r="X5" s="245"/>
      <c r="Y5" s="138"/>
      <c r="AA5" s="32" t="s">
        <v>84</v>
      </c>
      <c r="AB5" s="33"/>
      <c r="AC5" s="34" t="e">
        <f>#REF!</f>
        <v>#REF!</v>
      </c>
      <c r="AD5" s="33" t="s">
        <v>2</v>
      </c>
      <c r="AE5" s="33"/>
      <c r="AF5" s="32" t="s">
        <v>83</v>
      </c>
      <c r="AG5" s="33"/>
      <c r="AH5" s="34" t="e">
        <f>AC5/(AC4+AC5)</f>
        <v>#REF!</v>
      </c>
      <c r="AI5" s="35"/>
    </row>
    <row r="6" spans="2:35" x14ac:dyDescent="0.2">
      <c r="B6" s="137"/>
      <c r="C6" s="138"/>
      <c r="D6" s="138"/>
      <c r="E6" s="138"/>
      <c r="F6" s="138"/>
      <c r="G6" s="137"/>
      <c r="H6" s="138"/>
      <c r="I6" s="245"/>
      <c r="J6" s="140"/>
      <c r="L6" s="137"/>
      <c r="M6" s="138"/>
      <c r="N6" s="138"/>
      <c r="O6" s="138"/>
      <c r="P6" s="138"/>
      <c r="Q6" s="137"/>
      <c r="R6" s="138"/>
      <c r="S6" s="245"/>
      <c r="T6" s="140"/>
      <c r="V6" s="137"/>
      <c r="W6" s="138"/>
      <c r="X6" s="138"/>
      <c r="Y6" s="138"/>
      <c r="AA6" s="32"/>
      <c r="AB6" s="33"/>
      <c r="AC6" s="33"/>
      <c r="AD6" s="33"/>
      <c r="AE6" s="33"/>
      <c r="AF6" s="32"/>
      <c r="AG6" s="33"/>
      <c r="AH6" s="34"/>
      <c r="AI6" s="35"/>
    </row>
    <row r="7" spans="2:35" ht="16" thickBot="1" x14ac:dyDescent="0.25">
      <c r="B7" s="246" t="s">
        <v>39</v>
      </c>
      <c r="C7" s="247"/>
      <c r="D7" s="247">
        <f>'HE1'!I14</f>
        <v>725</v>
      </c>
      <c r="E7" s="247" t="s">
        <v>7</v>
      </c>
      <c r="F7" s="247"/>
      <c r="G7" s="246" t="s">
        <v>40</v>
      </c>
      <c r="H7" s="247"/>
      <c r="I7" s="249">
        <f>I4*D46+I5*I46</f>
        <v>6553.9858352087085</v>
      </c>
      <c r="J7" s="250" t="s">
        <v>0</v>
      </c>
      <c r="L7" s="246" t="s">
        <v>39</v>
      </c>
      <c r="M7" s="247"/>
      <c r="N7" s="345">
        <f>'CON1.1'!I14</f>
        <v>145.64049091688548</v>
      </c>
      <c r="O7" s="247" t="s">
        <v>7</v>
      </c>
      <c r="P7" s="247"/>
      <c r="Q7" s="246" t="s">
        <v>41</v>
      </c>
      <c r="R7" s="247"/>
      <c r="S7" s="249">
        <f>S4*N46+S5*S46</f>
        <v>6139.7118794888756</v>
      </c>
      <c r="T7" s="250" t="s">
        <v>0</v>
      </c>
      <c r="V7" s="246" t="s">
        <v>39</v>
      </c>
      <c r="W7" s="247"/>
      <c r="X7" s="345">
        <f>'V1'!C9</f>
        <v>171.93877551020415</v>
      </c>
      <c r="Y7" s="247" t="s">
        <v>7</v>
      </c>
      <c r="AA7" s="36" t="s">
        <v>39</v>
      </c>
      <c r="AB7" s="37"/>
      <c r="AC7" s="202" t="e">
        <f>#REF!</f>
        <v>#REF!</v>
      </c>
      <c r="AD7" s="37" t="s">
        <v>7</v>
      </c>
      <c r="AE7" s="37"/>
      <c r="AF7" s="36" t="s">
        <v>41</v>
      </c>
      <c r="AG7" s="37"/>
      <c r="AH7" s="38" t="e">
        <f>AH4*AC46+AH5*AH46</f>
        <v>#REF!</v>
      </c>
      <c r="AI7" s="39" t="s">
        <v>0</v>
      </c>
    </row>
    <row r="8" spans="2:35" ht="16" thickBot="1" x14ac:dyDescent="0.25"/>
    <row r="9" spans="2:35" x14ac:dyDescent="0.2">
      <c r="B9" s="13" t="s">
        <v>79</v>
      </c>
      <c r="C9" s="14"/>
      <c r="D9" s="14">
        <f>D7</f>
        <v>725</v>
      </c>
      <c r="E9" s="15" t="s">
        <v>7</v>
      </c>
      <c r="G9" s="13" t="s">
        <v>81</v>
      </c>
      <c r="H9" s="14"/>
      <c r="I9" s="14">
        <f>D7</f>
        <v>725</v>
      </c>
      <c r="J9" s="15" t="s">
        <v>7</v>
      </c>
      <c r="L9" s="13" t="s">
        <v>79</v>
      </c>
      <c r="M9" s="14"/>
      <c r="N9" s="277">
        <f>N7</f>
        <v>145.64049091688548</v>
      </c>
      <c r="O9" s="15" t="s">
        <v>7</v>
      </c>
      <c r="Q9" s="13" t="s">
        <v>81</v>
      </c>
      <c r="R9" s="14"/>
      <c r="S9" s="277">
        <f>N7</f>
        <v>145.64049091688548</v>
      </c>
      <c r="T9" s="15" t="s">
        <v>7</v>
      </c>
      <c r="V9" s="13" t="s">
        <v>79</v>
      </c>
      <c r="W9" s="14"/>
      <c r="X9" s="277">
        <f>X7</f>
        <v>171.93877551020415</v>
      </c>
      <c r="Y9" s="15" t="s">
        <v>7</v>
      </c>
      <c r="AA9" s="13" t="s">
        <v>79</v>
      </c>
      <c r="AB9" s="14"/>
      <c r="AC9" s="277" t="e">
        <f>AC7</f>
        <v>#REF!</v>
      </c>
      <c r="AD9" s="15" t="s">
        <v>7</v>
      </c>
      <c r="AF9" s="13" t="s">
        <v>81</v>
      </c>
      <c r="AG9" s="14"/>
      <c r="AH9" s="277" t="e">
        <f>AC7</f>
        <v>#REF!</v>
      </c>
      <c r="AI9" s="15" t="s">
        <v>7</v>
      </c>
    </row>
    <row r="10" spans="2:35" ht="16" thickBot="1" x14ac:dyDescent="0.25">
      <c r="B10" s="22"/>
      <c r="C10" s="23"/>
      <c r="D10" s="23">
        <f>D9+273</f>
        <v>998</v>
      </c>
      <c r="E10" s="21" t="s">
        <v>33</v>
      </c>
      <c r="G10" s="22"/>
      <c r="H10" s="23"/>
      <c r="I10" s="23">
        <f>I9+273</f>
        <v>998</v>
      </c>
      <c r="J10" s="21" t="s">
        <v>33</v>
      </c>
      <c r="L10" s="22"/>
      <c r="M10" s="23"/>
      <c r="N10" s="278">
        <f>N9+273</f>
        <v>418.64049091688548</v>
      </c>
      <c r="O10" s="21" t="s">
        <v>33</v>
      </c>
      <c r="Q10" s="22"/>
      <c r="R10" s="23"/>
      <c r="S10" s="278">
        <f>S9+273</f>
        <v>418.64049091688548</v>
      </c>
      <c r="T10" s="21" t="s">
        <v>33</v>
      </c>
      <c r="V10" s="22"/>
      <c r="W10" s="23"/>
      <c r="X10" s="278">
        <f>X9+273</f>
        <v>444.93877551020415</v>
      </c>
      <c r="Y10" s="21" t="s">
        <v>33</v>
      </c>
      <c r="AA10" s="22"/>
      <c r="AB10" s="23"/>
      <c r="AC10" s="278" t="e">
        <f>AC9+273</f>
        <v>#REF!</v>
      </c>
      <c r="AD10" s="21" t="s">
        <v>33</v>
      </c>
      <c r="AF10" s="22"/>
      <c r="AG10" s="23"/>
      <c r="AH10" s="278" t="e">
        <f>AH9+273</f>
        <v>#REF!</v>
      </c>
      <c r="AI10" s="21" t="s">
        <v>33</v>
      </c>
    </row>
    <row r="11" spans="2:35" ht="16" thickBot="1" x14ac:dyDescent="0.25">
      <c r="B11" s="52" t="s">
        <v>42</v>
      </c>
      <c r="C11" s="6" t="s">
        <v>43</v>
      </c>
      <c r="D11" s="6" t="s">
        <v>43</v>
      </c>
      <c r="E11" s="16"/>
      <c r="G11" s="52" t="s">
        <v>42</v>
      </c>
      <c r="H11" s="6" t="s">
        <v>43</v>
      </c>
      <c r="I11" s="6" t="s">
        <v>43</v>
      </c>
      <c r="J11" s="16"/>
      <c r="L11" s="52" t="s">
        <v>42</v>
      </c>
      <c r="M11" s="6" t="s">
        <v>43</v>
      </c>
      <c r="N11" s="6" t="s">
        <v>43</v>
      </c>
      <c r="O11" s="16"/>
      <c r="Q11" s="52" t="s">
        <v>42</v>
      </c>
      <c r="R11" s="6" t="s">
        <v>44</v>
      </c>
      <c r="S11" s="6" t="s">
        <v>44</v>
      </c>
      <c r="T11" s="16"/>
      <c r="V11" s="52" t="s">
        <v>42</v>
      </c>
      <c r="W11" s="6" t="s">
        <v>43</v>
      </c>
      <c r="X11" s="6" t="s">
        <v>43</v>
      </c>
      <c r="Y11" s="16"/>
      <c r="AA11" s="52" t="s">
        <v>42</v>
      </c>
      <c r="AB11" s="521" t="s">
        <v>43</v>
      </c>
      <c r="AC11" s="521" t="s">
        <v>43</v>
      </c>
      <c r="AD11" s="16"/>
      <c r="AF11" s="52" t="s">
        <v>42</v>
      </c>
      <c r="AG11" s="521" t="s">
        <v>44</v>
      </c>
      <c r="AH11" s="521" t="s">
        <v>44</v>
      </c>
      <c r="AI11" s="16"/>
    </row>
    <row r="12" spans="2:35" ht="16" thickBot="1" x14ac:dyDescent="0.25">
      <c r="B12" s="8">
        <v>175</v>
      </c>
      <c r="C12" s="158">
        <v>1.85</v>
      </c>
      <c r="D12" s="11">
        <f>IF(($D$10&gt;=B12)*AND($D$10&lt;B13),(((($D$10-B12)/(B13-B12))*(C13-C12))+C12),0)</f>
        <v>0</v>
      </c>
      <c r="E12" s="16"/>
      <c r="G12" s="153">
        <v>175</v>
      </c>
      <c r="H12" s="161">
        <v>13.12</v>
      </c>
      <c r="I12" s="160">
        <f>IF(($I$10&gt;=G12)*AND($I$10&lt;G13),(((($I$10-G12)/(G13-G12))*(H13-H12))+H12),0)</f>
        <v>0</v>
      </c>
      <c r="J12" s="16"/>
      <c r="L12" s="8">
        <v>175</v>
      </c>
      <c r="M12" s="158">
        <v>1.85</v>
      </c>
      <c r="N12" s="11">
        <f>IF(($N$10&gt;=L12)*AND($N$10&lt;L13),(((($N$10-L12)/(L13-L12))*(M13-M12))+M12),0)</f>
        <v>0</v>
      </c>
      <c r="O12" s="16"/>
      <c r="Q12" s="153">
        <v>175</v>
      </c>
      <c r="R12" s="161">
        <v>13.12</v>
      </c>
      <c r="S12" s="160">
        <f>IF(($S$10&gt;=Q12)*AND($S$10&lt;Q13),(((($S$10-Q12)/(Q13-Q12))*(R13-R12))+R12),0)</f>
        <v>0</v>
      </c>
      <c r="T12" s="16"/>
      <c r="V12" s="8">
        <v>175</v>
      </c>
      <c r="W12" s="158">
        <v>1.85</v>
      </c>
      <c r="X12" s="11">
        <f>IF(($X$10&gt;=V12)*AND($X$10&lt;V13),(((($X$10-V12)/(V13-V12))*(W13-W12))+W12),0)</f>
        <v>0</v>
      </c>
      <c r="Y12" s="16"/>
      <c r="AA12" s="8">
        <v>175</v>
      </c>
      <c r="AB12" s="158">
        <v>1.85</v>
      </c>
      <c r="AC12" s="11" t="e">
        <f>IF((AC$10&gt;=AA12)*AND(AC$10&lt;AA13),((((AC$10-AA12)/(AA13-AA12))*(AB13-AB12))+AB12),0)</f>
        <v>#REF!</v>
      </c>
      <c r="AD12" s="16"/>
      <c r="AF12" s="153">
        <v>175</v>
      </c>
      <c r="AG12" s="161">
        <v>13.12</v>
      </c>
      <c r="AH12" s="160" t="e">
        <f>IF((AH$10&gt;=AF12)*AND(AH$10&lt;AF13),((((AH$10-AF12)/(AF13-AF12))*(AG13-AG12))+AG12),0)</f>
        <v>#REF!</v>
      </c>
      <c r="AI12" s="16"/>
    </row>
    <row r="13" spans="2:35" ht="16" thickBot="1" x14ac:dyDescent="0.25">
      <c r="B13" s="8">
        <v>200</v>
      </c>
      <c r="C13" s="158">
        <v>1.851</v>
      </c>
      <c r="D13" s="11">
        <f t="shared" ref="D13:D44" si="0">IF(($D$10&gt;=B13)*AND($D$10&lt;B14),(((($D$10-B13)/(B14-B13))*(C14-C13))+C13),0)</f>
        <v>0</v>
      </c>
      <c r="E13" s="16"/>
      <c r="G13" s="155">
        <v>200</v>
      </c>
      <c r="H13" s="162">
        <v>13.53</v>
      </c>
      <c r="I13" s="160">
        <f t="shared" ref="I13:I44" si="1">IF(($I$10&gt;=G13)*AND($I$10&lt;G14),(((($I$10-G13)/(G14-G13))*(H14-H13))+H13),0)</f>
        <v>0</v>
      </c>
      <c r="J13" s="16"/>
      <c r="L13" s="8">
        <v>200</v>
      </c>
      <c r="M13" s="158">
        <v>1.851</v>
      </c>
      <c r="N13" s="11">
        <f t="shared" ref="N13:N44" si="2">IF(($N$10&gt;=L13)*AND($N$10&lt;L14),(((($N$10-L13)/(L14-L13))*(M14-M13))+M13),0)</f>
        <v>0</v>
      </c>
      <c r="O13" s="16"/>
      <c r="Q13" s="155">
        <v>200</v>
      </c>
      <c r="R13" s="162">
        <v>13.53</v>
      </c>
      <c r="S13" s="160">
        <f t="shared" ref="S13:S44" si="3">IF(($S$10&gt;=Q13)*AND($S$10&lt;Q14),(((($S$10-Q13)/(Q14-Q13))*(R14-R13))+R13),0)</f>
        <v>0</v>
      </c>
      <c r="T13" s="16"/>
      <c r="V13" s="8">
        <v>200</v>
      </c>
      <c r="W13" s="158">
        <v>1.851</v>
      </c>
      <c r="X13" s="11">
        <f t="shared" ref="X13:X44" si="4">IF(($X$10&gt;=V13)*AND($X$10&lt;V14),(((($X$10-V13)/(V14-V13))*(W14-W13))+W13),0)</f>
        <v>0</v>
      </c>
      <c r="Y13" s="16"/>
      <c r="AA13" s="8">
        <v>200</v>
      </c>
      <c r="AB13" s="158">
        <v>1.851</v>
      </c>
      <c r="AC13" s="11" t="e">
        <f t="shared" ref="AC13:AC44" si="5">IF((AC$10&gt;=AA13)*AND(AC$10&lt;AA14),((((AC$10-AA13)/(AA14-AA13))*(AB14-AB13))+AB13),0)</f>
        <v>#REF!</v>
      </c>
      <c r="AD13" s="16"/>
      <c r="AF13" s="155">
        <v>200</v>
      </c>
      <c r="AG13" s="162">
        <v>13.53</v>
      </c>
      <c r="AH13" s="160" t="e">
        <f t="shared" ref="AH13:AH44" si="6">IF((AH$10&gt;=AF13)*AND(AH$10&lt;AF14),((((AH$10-AF13)/(AF14-AF13))*(AG14-AG13))+AG13),0)</f>
        <v>#REF!</v>
      </c>
      <c r="AI13" s="16"/>
    </row>
    <row r="14" spans="2:35" ht="16" thickBot="1" x14ac:dyDescent="0.25">
      <c r="B14" s="8">
        <v>225</v>
      </c>
      <c r="C14" s="158">
        <v>1.8520000000000001</v>
      </c>
      <c r="D14" s="11">
        <f t="shared" si="0"/>
        <v>0</v>
      </c>
      <c r="E14" s="16"/>
      <c r="G14" s="154">
        <v>225</v>
      </c>
      <c r="H14" s="163">
        <v>13.83</v>
      </c>
      <c r="I14" s="160">
        <f t="shared" si="1"/>
        <v>0</v>
      </c>
      <c r="J14" s="16"/>
      <c r="L14" s="8">
        <v>225</v>
      </c>
      <c r="M14" s="158">
        <v>1.8520000000000001</v>
      </c>
      <c r="N14" s="11">
        <f t="shared" si="2"/>
        <v>0</v>
      </c>
      <c r="O14" s="16"/>
      <c r="Q14" s="154">
        <v>225</v>
      </c>
      <c r="R14" s="163">
        <v>13.83</v>
      </c>
      <c r="S14" s="160">
        <f t="shared" si="3"/>
        <v>0</v>
      </c>
      <c r="T14" s="16"/>
      <c r="V14" s="8">
        <v>225</v>
      </c>
      <c r="W14" s="158">
        <v>1.8520000000000001</v>
      </c>
      <c r="X14" s="11">
        <f t="shared" si="4"/>
        <v>0</v>
      </c>
      <c r="Y14" s="16"/>
      <c r="AA14" s="8">
        <v>225</v>
      </c>
      <c r="AB14" s="158">
        <v>1.8520000000000001</v>
      </c>
      <c r="AC14" s="11" t="e">
        <f t="shared" si="5"/>
        <v>#REF!</v>
      </c>
      <c r="AD14" s="16"/>
      <c r="AF14" s="154">
        <v>225</v>
      </c>
      <c r="AG14" s="163">
        <v>13.83</v>
      </c>
      <c r="AH14" s="160" t="e">
        <f t="shared" si="6"/>
        <v>#REF!</v>
      </c>
      <c r="AI14" s="16"/>
    </row>
    <row r="15" spans="2:35" ht="16" thickBot="1" x14ac:dyDescent="0.25">
      <c r="B15" s="8">
        <v>250</v>
      </c>
      <c r="C15" s="158">
        <v>1.855</v>
      </c>
      <c r="D15" s="11">
        <f t="shared" si="0"/>
        <v>0</v>
      </c>
      <c r="E15" s="16"/>
      <c r="G15" s="154">
        <v>250</v>
      </c>
      <c r="H15" s="163">
        <v>14.05</v>
      </c>
      <c r="I15" s="160">
        <f t="shared" si="1"/>
        <v>0</v>
      </c>
      <c r="J15" s="16"/>
      <c r="L15" s="8">
        <v>250</v>
      </c>
      <c r="M15" s="158">
        <v>1.855</v>
      </c>
      <c r="N15" s="11">
        <f t="shared" si="2"/>
        <v>0</v>
      </c>
      <c r="O15" s="16"/>
      <c r="Q15" s="154">
        <v>250</v>
      </c>
      <c r="R15" s="163">
        <v>14.05</v>
      </c>
      <c r="S15" s="160">
        <f t="shared" si="3"/>
        <v>0</v>
      </c>
      <c r="T15" s="16"/>
      <c r="V15" s="8">
        <v>250</v>
      </c>
      <c r="W15" s="158">
        <v>1.855</v>
      </c>
      <c r="X15" s="11">
        <f t="shared" si="4"/>
        <v>0</v>
      </c>
      <c r="Y15" s="16"/>
      <c r="AA15" s="8">
        <v>250</v>
      </c>
      <c r="AB15" s="158">
        <v>1.855</v>
      </c>
      <c r="AC15" s="11" t="e">
        <f t="shared" si="5"/>
        <v>#REF!</v>
      </c>
      <c r="AD15" s="16"/>
      <c r="AF15" s="154">
        <v>250</v>
      </c>
      <c r="AG15" s="163">
        <v>14.05</v>
      </c>
      <c r="AH15" s="160" t="e">
        <f t="shared" si="6"/>
        <v>#REF!</v>
      </c>
      <c r="AI15" s="16"/>
    </row>
    <row r="16" spans="2:35" ht="16" thickBot="1" x14ac:dyDescent="0.25">
      <c r="B16" s="8">
        <v>275</v>
      </c>
      <c r="C16" s="158">
        <v>1.859</v>
      </c>
      <c r="D16" s="11">
        <f t="shared" si="0"/>
        <v>0</v>
      </c>
      <c r="E16" s="16"/>
      <c r="G16" s="154">
        <v>275</v>
      </c>
      <c r="H16" s="163">
        <v>14.2</v>
      </c>
      <c r="I16" s="160">
        <f t="shared" si="1"/>
        <v>0</v>
      </c>
      <c r="J16" s="16"/>
      <c r="L16" s="8">
        <v>275</v>
      </c>
      <c r="M16" s="158">
        <v>1.859</v>
      </c>
      <c r="N16" s="11">
        <f t="shared" si="2"/>
        <v>0</v>
      </c>
      <c r="O16" s="16"/>
      <c r="Q16" s="154">
        <v>275</v>
      </c>
      <c r="R16" s="163">
        <v>14.2</v>
      </c>
      <c r="S16" s="160">
        <f t="shared" si="3"/>
        <v>0</v>
      </c>
      <c r="T16" s="16"/>
      <c r="V16" s="8">
        <v>275</v>
      </c>
      <c r="W16" s="158">
        <v>1.859</v>
      </c>
      <c r="X16" s="11">
        <f t="shared" si="4"/>
        <v>0</v>
      </c>
      <c r="Y16" s="16"/>
      <c r="AA16" s="8">
        <v>275</v>
      </c>
      <c r="AB16" s="158">
        <v>1.859</v>
      </c>
      <c r="AC16" s="11" t="e">
        <f t="shared" si="5"/>
        <v>#REF!</v>
      </c>
      <c r="AD16" s="16"/>
      <c r="AF16" s="154">
        <v>275</v>
      </c>
      <c r="AG16" s="163">
        <v>14.2</v>
      </c>
      <c r="AH16" s="160" t="e">
        <f t="shared" si="6"/>
        <v>#REF!</v>
      </c>
      <c r="AI16" s="16"/>
    </row>
    <row r="17" spans="2:35" ht="16" thickBot="1" x14ac:dyDescent="0.25">
      <c r="B17" s="8">
        <v>300</v>
      </c>
      <c r="C17" s="158">
        <v>1.8640000000000001</v>
      </c>
      <c r="D17" s="11">
        <f t="shared" si="0"/>
        <v>0</v>
      </c>
      <c r="E17" s="16"/>
      <c r="G17" s="154">
        <v>300</v>
      </c>
      <c r="H17" s="163">
        <v>14.31</v>
      </c>
      <c r="I17" s="160">
        <f t="shared" si="1"/>
        <v>0</v>
      </c>
      <c r="J17" s="16"/>
      <c r="L17" s="8">
        <v>300</v>
      </c>
      <c r="M17" s="158">
        <v>1.8640000000000001</v>
      </c>
      <c r="N17" s="11">
        <f t="shared" si="2"/>
        <v>0</v>
      </c>
      <c r="O17" s="16"/>
      <c r="Q17" s="154">
        <v>300</v>
      </c>
      <c r="R17" s="163">
        <v>14.31</v>
      </c>
      <c r="S17" s="160">
        <f t="shared" si="3"/>
        <v>0</v>
      </c>
      <c r="T17" s="16"/>
      <c r="V17" s="8">
        <v>300</v>
      </c>
      <c r="W17" s="158">
        <v>1.8640000000000001</v>
      </c>
      <c r="X17" s="11">
        <f t="shared" si="4"/>
        <v>0</v>
      </c>
      <c r="Y17" s="16"/>
      <c r="AA17" s="8">
        <v>300</v>
      </c>
      <c r="AB17" s="158">
        <v>1.8640000000000001</v>
      </c>
      <c r="AC17" s="11" t="e">
        <f t="shared" si="5"/>
        <v>#REF!</v>
      </c>
      <c r="AD17" s="16"/>
      <c r="AF17" s="154">
        <v>300</v>
      </c>
      <c r="AG17" s="163">
        <v>14.31</v>
      </c>
      <c r="AH17" s="160" t="e">
        <f t="shared" si="6"/>
        <v>#REF!</v>
      </c>
      <c r="AI17" s="16"/>
    </row>
    <row r="18" spans="2:35" ht="16" thickBot="1" x14ac:dyDescent="0.25">
      <c r="B18" s="8">
        <v>325</v>
      </c>
      <c r="C18" s="158">
        <v>1.871</v>
      </c>
      <c r="D18" s="11">
        <f t="shared" si="0"/>
        <v>0</v>
      </c>
      <c r="E18" s="16"/>
      <c r="G18" s="154">
        <v>325</v>
      </c>
      <c r="H18" s="163">
        <v>14.38</v>
      </c>
      <c r="I18" s="160">
        <f t="shared" si="1"/>
        <v>0</v>
      </c>
      <c r="J18" s="16"/>
      <c r="L18" s="8">
        <v>325</v>
      </c>
      <c r="M18" s="158">
        <v>1.871</v>
      </c>
      <c r="N18" s="11">
        <f t="shared" si="2"/>
        <v>0</v>
      </c>
      <c r="O18" s="16"/>
      <c r="Q18" s="154">
        <v>325</v>
      </c>
      <c r="R18" s="163">
        <v>14.38</v>
      </c>
      <c r="S18" s="160">
        <f t="shared" si="3"/>
        <v>0</v>
      </c>
      <c r="T18" s="16"/>
      <c r="V18" s="8">
        <v>325</v>
      </c>
      <c r="W18" s="158">
        <v>1.871</v>
      </c>
      <c r="X18" s="11">
        <f t="shared" si="4"/>
        <v>0</v>
      </c>
      <c r="Y18" s="16"/>
      <c r="AA18" s="8">
        <v>325</v>
      </c>
      <c r="AB18" s="158">
        <v>1.871</v>
      </c>
      <c r="AC18" s="11" t="e">
        <f t="shared" si="5"/>
        <v>#REF!</v>
      </c>
      <c r="AD18" s="16"/>
      <c r="AF18" s="154">
        <v>325</v>
      </c>
      <c r="AG18" s="163">
        <v>14.38</v>
      </c>
      <c r="AH18" s="160" t="e">
        <f t="shared" si="6"/>
        <v>#REF!</v>
      </c>
      <c r="AI18" s="16"/>
    </row>
    <row r="19" spans="2:35" ht="16" thickBot="1" x14ac:dyDescent="0.25">
      <c r="B19" s="8">
        <v>350</v>
      </c>
      <c r="C19" s="158">
        <v>1.88</v>
      </c>
      <c r="D19" s="11">
        <f t="shared" si="0"/>
        <v>0</v>
      </c>
      <c r="E19" s="16"/>
      <c r="G19" s="154">
        <v>350</v>
      </c>
      <c r="H19" s="163">
        <v>14.43</v>
      </c>
      <c r="I19" s="160">
        <f t="shared" si="1"/>
        <v>0</v>
      </c>
      <c r="J19" s="16"/>
      <c r="L19" s="8">
        <v>350</v>
      </c>
      <c r="M19" s="158">
        <v>1.88</v>
      </c>
      <c r="N19" s="11">
        <f t="shared" si="2"/>
        <v>0</v>
      </c>
      <c r="O19" s="16"/>
      <c r="Q19" s="154">
        <v>350</v>
      </c>
      <c r="R19" s="163">
        <v>14.43</v>
      </c>
      <c r="S19" s="160">
        <f t="shared" si="3"/>
        <v>0</v>
      </c>
      <c r="T19" s="16"/>
      <c r="V19" s="8">
        <v>350</v>
      </c>
      <c r="W19" s="158">
        <v>1.88</v>
      </c>
      <c r="X19" s="11">
        <f t="shared" si="4"/>
        <v>0</v>
      </c>
      <c r="Y19" s="16"/>
      <c r="AA19" s="8">
        <v>350</v>
      </c>
      <c r="AB19" s="158">
        <v>1.88</v>
      </c>
      <c r="AC19" s="11" t="e">
        <f t="shared" si="5"/>
        <v>#REF!</v>
      </c>
      <c r="AD19" s="16"/>
      <c r="AF19" s="154">
        <v>350</v>
      </c>
      <c r="AG19" s="163">
        <v>14.43</v>
      </c>
      <c r="AH19" s="160" t="e">
        <f t="shared" si="6"/>
        <v>#REF!</v>
      </c>
      <c r="AI19" s="16"/>
    </row>
    <row r="20" spans="2:35" ht="16" thickBot="1" x14ac:dyDescent="0.25">
      <c r="B20" s="8">
        <v>375</v>
      </c>
      <c r="C20" s="158">
        <v>1.89</v>
      </c>
      <c r="D20" s="11">
        <f t="shared" si="0"/>
        <v>0</v>
      </c>
      <c r="E20" s="16"/>
      <c r="G20" s="154">
        <v>375</v>
      </c>
      <c r="H20" s="163">
        <v>14.46</v>
      </c>
      <c r="I20" s="160">
        <f t="shared" si="1"/>
        <v>0</v>
      </c>
      <c r="J20" s="16"/>
      <c r="L20" s="8">
        <v>375</v>
      </c>
      <c r="M20" s="158">
        <v>1.89</v>
      </c>
      <c r="N20" s="11">
        <f t="shared" si="2"/>
        <v>0</v>
      </c>
      <c r="O20" s="16"/>
      <c r="Q20" s="154">
        <v>375</v>
      </c>
      <c r="R20" s="163">
        <v>14.46</v>
      </c>
      <c r="S20" s="160">
        <f t="shared" si="3"/>
        <v>0</v>
      </c>
      <c r="T20" s="16"/>
      <c r="V20" s="8">
        <v>375</v>
      </c>
      <c r="W20" s="158">
        <v>1.89</v>
      </c>
      <c r="X20" s="11">
        <f t="shared" si="4"/>
        <v>0</v>
      </c>
      <c r="Y20" s="16"/>
      <c r="AA20" s="8">
        <v>375</v>
      </c>
      <c r="AB20" s="158">
        <v>1.89</v>
      </c>
      <c r="AC20" s="11" t="e">
        <f t="shared" si="5"/>
        <v>#REF!</v>
      </c>
      <c r="AD20" s="16"/>
      <c r="AF20" s="154">
        <v>375</v>
      </c>
      <c r="AG20" s="163">
        <v>14.46</v>
      </c>
      <c r="AH20" s="160" t="e">
        <f t="shared" si="6"/>
        <v>#REF!</v>
      </c>
      <c r="AI20" s="16"/>
    </row>
    <row r="21" spans="2:35" ht="16" thickBot="1" x14ac:dyDescent="0.25">
      <c r="B21" s="157">
        <v>400</v>
      </c>
      <c r="C21" s="159">
        <v>1.901</v>
      </c>
      <c r="D21" s="11">
        <f t="shared" si="0"/>
        <v>0</v>
      </c>
      <c r="E21" s="16"/>
      <c r="F21" s="7"/>
      <c r="G21" s="154">
        <v>400</v>
      </c>
      <c r="H21" s="163">
        <v>14.48</v>
      </c>
      <c r="I21" s="160">
        <f t="shared" si="1"/>
        <v>0</v>
      </c>
      <c r="J21" s="16"/>
      <c r="L21" s="157">
        <v>400</v>
      </c>
      <c r="M21" s="159">
        <v>1.901</v>
      </c>
      <c r="N21" s="11">
        <f t="shared" si="2"/>
        <v>1.9103202454584427</v>
      </c>
      <c r="O21" s="16"/>
      <c r="P21" s="7"/>
      <c r="Q21" s="154">
        <v>400</v>
      </c>
      <c r="R21" s="163">
        <v>14.48</v>
      </c>
      <c r="S21" s="160">
        <f t="shared" si="3"/>
        <v>14.487456196366754</v>
      </c>
      <c r="T21" s="16"/>
      <c r="V21" s="157">
        <v>400</v>
      </c>
      <c r="W21" s="159">
        <v>1.901</v>
      </c>
      <c r="X21" s="11">
        <f t="shared" si="4"/>
        <v>1.9234693877551021</v>
      </c>
      <c r="Y21" s="16"/>
      <c r="AA21" s="157">
        <v>400</v>
      </c>
      <c r="AB21" s="159">
        <v>1.901</v>
      </c>
      <c r="AC21" s="11" t="e">
        <f t="shared" si="5"/>
        <v>#REF!</v>
      </c>
      <c r="AD21" s="16"/>
      <c r="AE21" s="7"/>
      <c r="AF21" s="154">
        <v>400</v>
      </c>
      <c r="AG21" s="163">
        <v>14.48</v>
      </c>
      <c r="AH21" s="160" t="e">
        <f t="shared" si="6"/>
        <v>#REF!</v>
      </c>
      <c r="AI21" s="16"/>
    </row>
    <row r="22" spans="2:35" ht="16" thickBot="1" x14ac:dyDescent="0.25">
      <c r="B22" s="8">
        <v>450</v>
      </c>
      <c r="C22" s="158">
        <v>1.9259999999999999</v>
      </c>
      <c r="D22" s="11">
        <f t="shared" si="0"/>
        <v>0</v>
      </c>
      <c r="E22" s="16"/>
      <c r="F22" s="7"/>
      <c r="G22" s="154">
        <v>450</v>
      </c>
      <c r="H22" s="163">
        <v>14.5</v>
      </c>
      <c r="I22" s="160">
        <f t="shared" si="1"/>
        <v>0</v>
      </c>
      <c r="J22" s="16"/>
      <c r="L22" s="8">
        <v>450</v>
      </c>
      <c r="M22" s="158">
        <v>1.9259999999999999</v>
      </c>
      <c r="N22" s="11">
        <f t="shared" si="2"/>
        <v>0</v>
      </c>
      <c r="O22" s="16"/>
      <c r="P22" s="7"/>
      <c r="Q22" s="154">
        <v>450</v>
      </c>
      <c r="R22" s="163">
        <v>14.5</v>
      </c>
      <c r="S22" s="160">
        <f t="shared" si="3"/>
        <v>0</v>
      </c>
      <c r="T22" s="16"/>
      <c r="V22" s="8">
        <v>450</v>
      </c>
      <c r="W22" s="158">
        <v>1.9259999999999999</v>
      </c>
      <c r="X22" s="11">
        <f t="shared" si="4"/>
        <v>0</v>
      </c>
      <c r="Y22" s="16"/>
      <c r="AA22" s="8">
        <v>450</v>
      </c>
      <c r="AB22" s="158">
        <v>1.9259999999999999</v>
      </c>
      <c r="AC22" s="11" t="e">
        <f t="shared" si="5"/>
        <v>#REF!</v>
      </c>
      <c r="AD22" s="16"/>
      <c r="AE22" s="7"/>
      <c r="AF22" s="154">
        <v>450</v>
      </c>
      <c r="AG22" s="163">
        <v>14.5</v>
      </c>
      <c r="AH22" s="160" t="e">
        <f t="shared" si="6"/>
        <v>#REF!</v>
      </c>
      <c r="AI22" s="16"/>
    </row>
    <row r="23" spans="2:35" ht="16" thickBot="1" x14ac:dyDescent="0.25">
      <c r="B23" s="8">
        <v>500</v>
      </c>
      <c r="C23" s="158">
        <v>1.954</v>
      </c>
      <c r="D23" s="11">
        <f t="shared" si="0"/>
        <v>0</v>
      </c>
      <c r="E23" s="16"/>
      <c r="F23" s="7"/>
      <c r="G23" s="154">
        <v>500</v>
      </c>
      <c r="H23" s="163">
        <v>14.51</v>
      </c>
      <c r="I23" s="160">
        <f t="shared" si="1"/>
        <v>0</v>
      </c>
      <c r="J23" s="16"/>
      <c r="L23" s="8">
        <v>500</v>
      </c>
      <c r="M23" s="158">
        <v>1.954</v>
      </c>
      <c r="N23" s="11">
        <f t="shared" si="2"/>
        <v>0</v>
      </c>
      <c r="O23" s="16"/>
      <c r="P23" s="7"/>
      <c r="Q23" s="154">
        <v>500</v>
      </c>
      <c r="R23" s="163">
        <v>14.51</v>
      </c>
      <c r="S23" s="160">
        <f t="shared" si="3"/>
        <v>0</v>
      </c>
      <c r="T23" s="16"/>
      <c r="V23" s="8">
        <v>500</v>
      </c>
      <c r="W23" s="158">
        <v>1.954</v>
      </c>
      <c r="X23" s="11">
        <f t="shared" si="4"/>
        <v>0</v>
      </c>
      <c r="Y23" s="16"/>
      <c r="AA23" s="8">
        <v>500</v>
      </c>
      <c r="AB23" s="158">
        <v>1.954</v>
      </c>
      <c r="AC23" s="11" t="e">
        <f t="shared" si="5"/>
        <v>#REF!</v>
      </c>
      <c r="AD23" s="16"/>
      <c r="AE23" s="7"/>
      <c r="AF23" s="154">
        <v>500</v>
      </c>
      <c r="AG23" s="163">
        <v>14.51</v>
      </c>
      <c r="AH23" s="160" t="e">
        <f t="shared" si="6"/>
        <v>#REF!</v>
      </c>
      <c r="AI23" s="16"/>
    </row>
    <row r="24" spans="2:35" ht="16" thickBot="1" x14ac:dyDescent="0.25">
      <c r="B24" s="8">
        <v>550</v>
      </c>
      <c r="C24" s="158">
        <v>1.984</v>
      </c>
      <c r="D24" s="11">
        <f t="shared" si="0"/>
        <v>0</v>
      </c>
      <c r="E24" s="16"/>
      <c r="F24" s="7"/>
      <c r="G24" s="154">
        <v>550</v>
      </c>
      <c r="H24" s="163">
        <v>14.53</v>
      </c>
      <c r="I24" s="160">
        <f t="shared" si="1"/>
        <v>0</v>
      </c>
      <c r="J24" s="16"/>
      <c r="L24" s="8">
        <v>550</v>
      </c>
      <c r="M24" s="158">
        <v>1.984</v>
      </c>
      <c r="N24" s="11">
        <f t="shared" si="2"/>
        <v>0</v>
      </c>
      <c r="O24" s="16"/>
      <c r="P24" s="7"/>
      <c r="Q24" s="154">
        <v>550</v>
      </c>
      <c r="R24" s="163">
        <v>14.53</v>
      </c>
      <c r="S24" s="160">
        <f t="shared" si="3"/>
        <v>0</v>
      </c>
      <c r="T24" s="16"/>
      <c r="V24" s="8">
        <v>550</v>
      </c>
      <c r="W24" s="158">
        <v>1.984</v>
      </c>
      <c r="X24" s="11">
        <f t="shared" si="4"/>
        <v>0</v>
      </c>
      <c r="Y24" s="16"/>
      <c r="AA24" s="8">
        <v>550</v>
      </c>
      <c r="AB24" s="158">
        <v>1.984</v>
      </c>
      <c r="AC24" s="11" t="e">
        <f t="shared" si="5"/>
        <v>#REF!</v>
      </c>
      <c r="AD24" s="16"/>
      <c r="AE24" s="7"/>
      <c r="AF24" s="154">
        <v>550</v>
      </c>
      <c r="AG24" s="163">
        <v>14.53</v>
      </c>
      <c r="AH24" s="160" t="e">
        <f t="shared" si="6"/>
        <v>#REF!</v>
      </c>
      <c r="AI24" s="16"/>
    </row>
    <row r="25" spans="2:35" ht="16" thickBot="1" x14ac:dyDescent="0.25">
      <c r="B25" s="8">
        <v>600</v>
      </c>
      <c r="C25" s="158">
        <v>2.0150000000000001</v>
      </c>
      <c r="D25" s="11">
        <f t="shared" si="0"/>
        <v>0</v>
      </c>
      <c r="E25" s="16"/>
      <c r="F25" s="7"/>
      <c r="G25" s="154">
        <v>600</v>
      </c>
      <c r="H25" s="163">
        <v>14.55</v>
      </c>
      <c r="I25" s="160">
        <f t="shared" si="1"/>
        <v>0</v>
      </c>
      <c r="J25" s="16"/>
      <c r="L25" s="8">
        <v>600</v>
      </c>
      <c r="M25" s="158">
        <v>2.0150000000000001</v>
      </c>
      <c r="N25" s="11">
        <f t="shared" si="2"/>
        <v>0</v>
      </c>
      <c r="O25" s="16"/>
      <c r="P25" s="7"/>
      <c r="Q25" s="154">
        <v>600</v>
      </c>
      <c r="R25" s="163">
        <v>14.55</v>
      </c>
      <c r="S25" s="160">
        <f t="shared" si="3"/>
        <v>0</v>
      </c>
      <c r="T25" s="16"/>
      <c r="V25" s="8">
        <v>600</v>
      </c>
      <c r="W25" s="158">
        <v>2.0150000000000001</v>
      </c>
      <c r="X25" s="11">
        <f t="shared" si="4"/>
        <v>0</v>
      </c>
      <c r="Y25" s="16"/>
      <c r="AA25" s="8">
        <v>600</v>
      </c>
      <c r="AB25" s="158">
        <v>2.0150000000000001</v>
      </c>
      <c r="AC25" s="11" t="e">
        <f t="shared" si="5"/>
        <v>#REF!</v>
      </c>
      <c r="AD25" s="16"/>
      <c r="AE25" s="7"/>
      <c r="AF25" s="154">
        <v>600</v>
      </c>
      <c r="AG25" s="163">
        <v>14.55</v>
      </c>
      <c r="AH25" s="160" t="e">
        <f t="shared" si="6"/>
        <v>#REF!</v>
      </c>
      <c r="AI25" s="16"/>
    </row>
    <row r="26" spans="2:35" ht="16" thickBot="1" x14ac:dyDescent="0.25">
      <c r="B26" s="8">
        <v>650</v>
      </c>
      <c r="C26" s="158">
        <v>2.0470000000000002</v>
      </c>
      <c r="D26" s="11">
        <f t="shared" si="0"/>
        <v>0</v>
      </c>
      <c r="E26" s="16"/>
      <c r="F26" s="7"/>
      <c r="G26" s="154">
        <v>650</v>
      </c>
      <c r="H26" s="163">
        <v>14.57</v>
      </c>
      <c r="I26" s="160">
        <f t="shared" si="1"/>
        <v>0</v>
      </c>
      <c r="J26" s="16"/>
      <c r="L26" s="8">
        <v>650</v>
      </c>
      <c r="M26" s="158">
        <v>2.0470000000000002</v>
      </c>
      <c r="N26" s="11">
        <f t="shared" si="2"/>
        <v>0</v>
      </c>
      <c r="O26" s="16"/>
      <c r="P26" s="7"/>
      <c r="Q26" s="154">
        <v>650</v>
      </c>
      <c r="R26" s="163">
        <v>14.57</v>
      </c>
      <c r="S26" s="160">
        <f t="shared" si="3"/>
        <v>0</v>
      </c>
      <c r="T26" s="16"/>
      <c r="V26" s="8">
        <v>650</v>
      </c>
      <c r="W26" s="158">
        <v>2.0470000000000002</v>
      </c>
      <c r="X26" s="11">
        <f t="shared" si="4"/>
        <v>0</v>
      </c>
      <c r="Y26" s="16"/>
      <c r="AA26" s="8">
        <v>650</v>
      </c>
      <c r="AB26" s="158">
        <v>2.0470000000000002</v>
      </c>
      <c r="AC26" s="11" t="e">
        <f t="shared" si="5"/>
        <v>#REF!</v>
      </c>
      <c r="AD26" s="16"/>
      <c r="AE26" s="7"/>
      <c r="AF26" s="154">
        <v>650</v>
      </c>
      <c r="AG26" s="163">
        <v>14.57</v>
      </c>
      <c r="AH26" s="160" t="e">
        <f t="shared" si="6"/>
        <v>#REF!</v>
      </c>
      <c r="AI26" s="16"/>
    </row>
    <row r="27" spans="2:35" ht="16" thickBot="1" x14ac:dyDescent="0.25">
      <c r="B27" s="8">
        <v>700</v>
      </c>
      <c r="C27" s="158">
        <v>2.08</v>
      </c>
      <c r="D27" s="11">
        <f t="shared" si="0"/>
        <v>0</v>
      </c>
      <c r="E27" s="16"/>
      <c r="F27" s="7"/>
      <c r="G27" s="154">
        <v>700</v>
      </c>
      <c r="H27" s="163">
        <v>14.6</v>
      </c>
      <c r="I27" s="160">
        <f t="shared" si="1"/>
        <v>0</v>
      </c>
      <c r="J27" s="16"/>
      <c r="L27" s="8">
        <v>700</v>
      </c>
      <c r="M27" s="158">
        <v>2.08</v>
      </c>
      <c r="N27" s="11">
        <f t="shared" si="2"/>
        <v>0</v>
      </c>
      <c r="O27" s="16"/>
      <c r="P27" s="7"/>
      <c r="Q27" s="154">
        <v>700</v>
      </c>
      <c r="R27" s="163">
        <v>14.6</v>
      </c>
      <c r="S27" s="160">
        <f t="shared" si="3"/>
        <v>0</v>
      </c>
      <c r="T27" s="16"/>
      <c r="V27" s="8">
        <v>700</v>
      </c>
      <c r="W27" s="158">
        <v>2.08</v>
      </c>
      <c r="X27" s="11">
        <f t="shared" si="4"/>
        <v>0</v>
      </c>
      <c r="Y27" s="16"/>
      <c r="AA27" s="8">
        <v>700</v>
      </c>
      <c r="AB27" s="158">
        <v>2.08</v>
      </c>
      <c r="AC27" s="11" t="e">
        <f t="shared" si="5"/>
        <v>#REF!</v>
      </c>
      <c r="AD27" s="16"/>
      <c r="AE27" s="7"/>
      <c r="AF27" s="154">
        <v>700</v>
      </c>
      <c r="AG27" s="163">
        <v>14.6</v>
      </c>
      <c r="AH27" s="160" t="e">
        <f t="shared" si="6"/>
        <v>#REF!</v>
      </c>
      <c r="AI27" s="16"/>
    </row>
    <row r="28" spans="2:35" ht="16" thickBot="1" x14ac:dyDescent="0.25">
      <c r="B28" s="8">
        <v>750</v>
      </c>
      <c r="C28" s="158">
        <v>2.113</v>
      </c>
      <c r="D28" s="11">
        <f t="shared" si="0"/>
        <v>0</v>
      </c>
      <c r="E28" s="16"/>
      <c r="F28" s="7"/>
      <c r="G28" s="154">
        <v>750</v>
      </c>
      <c r="H28" s="163">
        <v>14.65</v>
      </c>
      <c r="I28" s="160">
        <f t="shared" si="1"/>
        <v>0</v>
      </c>
      <c r="J28" s="16"/>
      <c r="L28" s="8">
        <v>750</v>
      </c>
      <c r="M28" s="158">
        <v>2.113</v>
      </c>
      <c r="N28" s="11">
        <f t="shared" si="2"/>
        <v>0</v>
      </c>
      <c r="O28" s="16"/>
      <c r="P28" s="7"/>
      <c r="Q28" s="154">
        <v>750</v>
      </c>
      <c r="R28" s="163">
        <v>14.65</v>
      </c>
      <c r="S28" s="160">
        <f t="shared" si="3"/>
        <v>0</v>
      </c>
      <c r="T28" s="16"/>
      <c r="V28" s="8">
        <v>750</v>
      </c>
      <c r="W28" s="158">
        <v>2.113</v>
      </c>
      <c r="X28" s="11">
        <f t="shared" si="4"/>
        <v>0</v>
      </c>
      <c r="Y28" s="16"/>
      <c r="AA28" s="8">
        <v>750</v>
      </c>
      <c r="AB28" s="158">
        <v>2.113</v>
      </c>
      <c r="AC28" s="11" t="e">
        <f t="shared" si="5"/>
        <v>#REF!</v>
      </c>
      <c r="AD28" s="16"/>
      <c r="AE28" s="7"/>
      <c r="AF28" s="154">
        <v>750</v>
      </c>
      <c r="AG28" s="163">
        <v>14.65</v>
      </c>
      <c r="AH28" s="160" t="e">
        <f t="shared" si="6"/>
        <v>#REF!</v>
      </c>
      <c r="AI28" s="16"/>
    </row>
    <row r="29" spans="2:35" ht="16" thickBot="1" x14ac:dyDescent="0.25">
      <c r="B29" s="8">
        <v>800</v>
      </c>
      <c r="C29" s="158">
        <v>2.1469999999999998</v>
      </c>
      <c r="D29" s="11">
        <f t="shared" si="0"/>
        <v>0</v>
      </c>
      <c r="E29" s="16"/>
      <c r="F29" s="7"/>
      <c r="G29" s="154">
        <v>800</v>
      </c>
      <c r="H29" s="163">
        <v>14.71</v>
      </c>
      <c r="I29" s="160">
        <f t="shared" si="1"/>
        <v>0</v>
      </c>
      <c r="J29" s="16"/>
      <c r="L29" s="8">
        <v>800</v>
      </c>
      <c r="M29" s="158">
        <v>2.1469999999999998</v>
      </c>
      <c r="N29" s="11">
        <f t="shared" si="2"/>
        <v>0</v>
      </c>
      <c r="O29" s="16"/>
      <c r="P29" s="7"/>
      <c r="Q29" s="154">
        <v>800</v>
      </c>
      <c r="R29" s="163">
        <v>14.71</v>
      </c>
      <c r="S29" s="160">
        <f t="shared" si="3"/>
        <v>0</v>
      </c>
      <c r="T29" s="16"/>
      <c r="V29" s="8">
        <v>800</v>
      </c>
      <c r="W29" s="158">
        <v>2.1469999999999998</v>
      </c>
      <c r="X29" s="11">
        <f t="shared" si="4"/>
        <v>0</v>
      </c>
      <c r="Y29" s="16"/>
      <c r="AA29" s="8">
        <v>800</v>
      </c>
      <c r="AB29" s="158">
        <v>2.1469999999999998</v>
      </c>
      <c r="AC29" s="11" t="e">
        <f t="shared" si="5"/>
        <v>#REF!</v>
      </c>
      <c r="AD29" s="16"/>
      <c r="AE29" s="7"/>
      <c r="AF29" s="154">
        <v>800</v>
      </c>
      <c r="AG29" s="163">
        <v>14.71</v>
      </c>
      <c r="AH29" s="160" t="e">
        <f t="shared" si="6"/>
        <v>#REF!</v>
      </c>
      <c r="AI29" s="16"/>
    </row>
    <row r="30" spans="2:35" ht="16" thickBot="1" x14ac:dyDescent="0.25">
      <c r="B30" s="8">
        <v>850</v>
      </c>
      <c r="C30" s="158">
        <v>2.1819999999999999</v>
      </c>
      <c r="D30" s="11">
        <f t="shared" si="0"/>
        <v>0</v>
      </c>
      <c r="E30" s="16"/>
      <c r="F30" s="7"/>
      <c r="G30" s="154">
        <v>850</v>
      </c>
      <c r="H30" s="163">
        <v>14.77</v>
      </c>
      <c r="I30" s="160">
        <f t="shared" si="1"/>
        <v>0</v>
      </c>
      <c r="J30" s="16"/>
      <c r="L30" s="8">
        <v>850</v>
      </c>
      <c r="M30" s="158">
        <v>2.1819999999999999</v>
      </c>
      <c r="N30" s="11">
        <f t="shared" si="2"/>
        <v>0</v>
      </c>
      <c r="O30" s="16"/>
      <c r="P30" s="7"/>
      <c r="Q30" s="154">
        <v>850</v>
      </c>
      <c r="R30" s="163">
        <v>14.77</v>
      </c>
      <c r="S30" s="160">
        <f t="shared" si="3"/>
        <v>0</v>
      </c>
      <c r="T30" s="16"/>
      <c r="V30" s="8">
        <v>850</v>
      </c>
      <c r="W30" s="158">
        <v>2.1819999999999999</v>
      </c>
      <c r="X30" s="11">
        <f t="shared" si="4"/>
        <v>0</v>
      </c>
      <c r="Y30" s="16"/>
      <c r="AA30" s="8">
        <v>850</v>
      </c>
      <c r="AB30" s="158">
        <v>2.1819999999999999</v>
      </c>
      <c r="AC30" s="11" t="e">
        <f t="shared" si="5"/>
        <v>#REF!</v>
      </c>
      <c r="AD30" s="16"/>
      <c r="AE30" s="7"/>
      <c r="AF30" s="154">
        <v>850</v>
      </c>
      <c r="AG30" s="163">
        <v>14.77</v>
      </c>
      <c r="AH30" s="160" t="e">
        <f t="shared" si="6"/>
        <v>#REF!</v>
      </c>
      <c r="AI30" s="16"/>
    </row>
    <row r="31" spans="2:35" ht="16" thickBot="1" x14ac:dyDescent="0.25">
      <c r="B31" s="8">
        <v>900</v>
      </c>
      <c r="C31" s="158">
        <v>2.2170000000000001</v>
      </c>
      <c r="D31" s="11">
        <f t="shared" si="0"/>
        <v>0</v>
      </c>
      <c r="E31" s="16"/>
      <c r="F31" s="7"/>
      <c r="G31" s="154">
        <v>900</v>
      </c>
      <c r="H31" s="163">
        <v>14.83</v>
      </c>
      <c r="I31" s="160">
        <f t="shared" si="1"/>
        <v>0</v>
      </c>
      <c r="J31" s="16"/>
      <c r="L31" s="8">
        <v>900</v>
      </c>
      <c r="M31" s="158">
        <v>2.2170000000000001</v>
      </c>
      <c r="N31" s="11">
        <f t="shared" si="2"/>
        <v>0</v>
      </c>
      <c r="O31" s="16"/>
      <c r="P31" s="7"/>
      <c r="Q31" s="154">
        <v>900</v>
      </c>
      <c r="R31" s="163">
        <v>14.83</v>
      </c>
      <c r="S31" s="160">
        <f t="shared" si="3"/>
        <v>0</v>
      </c>
      <c r="T31" s="16"/>
      <c r="V31" s="8">
        <v>900</v>
      </c>
      <c r="W31" s="158">
        <v>2.2170000000000001</v>
      </c>
      <c r="X31" s="11">
        <f t="shared" si="4"/>
        <v>0</v>
      </c>
      <c r="Y31" s="16"/>
      <c r="AA31" s="8">
        <v>900</v>
      </c>
      <c r="AB31" s="158">
        <v>2.2170000000000001</v>
      </c>
      <c r="AC31" s="11" t="e">
        <f t="shared" si="5"/>
        <v>#REF!</v>
      </c>
      <c r="AD31" s="16"/>
      <c r="AE31" s="7"/>
      <c r="AF31" s="154">
        <v>900</v>
      </c>
      <c r="AG31" s="163">
        <v>14.83</v>
      </c>
      <c r="AH31" s="160" t="e">
        <f t="shared" si="6"/>
        <v>#REF!</v>
      </c>
      <c r="AI31" s="16"/>
    </row>
    <row r="32" spans="2:35" ht="16" thickBot="1" x14ac:dyDescent="0.25">
      <c r="B32" s="8">
        <v>950</v>
      </c>
      <c r="C32" s="158">
        <v>2.2519999999999998</v>
      </c>
      <c r="D32" s="11">
        <f t="shared" si="0"/>
        <v>2.2865599999999997</v>
      </c>
      <c r="E32" s="16"/>
      <c r="F32" s="7"/>
      <c r="G32" s="154">
        <v>950</v>
      </c>
      <c r="H32" s="163">
        <v>14.9</v>
      </c>
      <c r="I32" s="160">
        <f t="shared" si="1"/>
        <v>14.976800000000001</v>
      </c>
      <c r="J32" s="16"/>
      <c r="L32" s="8">
        <v>950</v>
      </c>
      <c r="M32" s="158">
        <v>2.2519999999999998</v>
      </c>
      <c r="N32" s="11">
        <f t="shared" si="2"/>
        <v>0</v>
      </c>
      <c r="O32" s="16"/>
      <c r="P32" s="7"/>
      <c r="Q32" s="154">
        <v>950</v>
      </c>
      <c r="R32" s="163">
        <v>14.9</v>
      </c>
      <c r="S32" s="160">
        <f t="shared" si="3"/>
        <v>0</v>
      </c>
      <c r="T32" s="16"/>
      <c r="V32" s="8">
        <v>950</v>
      </c>
      <c r="W32" s="158">
        <v>2.2519999999999998</v>
      </c>
      <c r="X32" s="11">
        <f t="shared" si="4"/>
        <v>0</v>
      </c>
      <c r="Y32" s="16"/>
      <c r="AA32" s="8">
        <v>950</v>
      </c>
      <c r="AB32" s="158">
        <v>2.2519999999999998</v>
      </c>
      <c r="AC32" s="11" t="e">
        <f t="shared" si="5"/>
        <v>#REF!</v>
      </c>
      <c r="AD32" s="16"/>
      <c r="AE32" s="7"/>
      <c r="AF32" s="154">
        <v>950</v>
      </c>
      <c r="AG32" s="163">
        <v>14.9</v>
      </c>
      <c r="AH32" s="160" t="e">
        <f t="shared" si="6"/>
        <v>#REF!</v>
      </c>
      <c r="AI32" s="16"/>
    </row>
    <row r="33" spans="2:35" ht="16" thickBot="1" x14ac:dyDescent="0.25">
      <c r="B33" s="8">
        <v>1000</v>
      </c>
      <c r="C33" s="158">
        <v>2.2879999999999998</v>
      </c>
      <c r="D33" s="11">
        <f t="shared" si="0"/>
        <v>0</v>
      </c>
      <c r="E33" s="16"/>
      <c r="F33" s="7"/>
      <c r="G33" s="154">
        <v>1000</v>
      </c>
      <c r="H33" s="163">
        <v>14.98</v>
      </c>
      <c r="I33" s="160">
        <f t="shared" si="1"/>
        <v>0</v>
      </c>
      <c r="J33" s="16"/>
      <c r="L33" s="8">
        <v>1000</v>
      </c>
      <c r="M33" s="158">
        <v>2.2879999999999998</v>
      </c>
      <c r="N33" s="11">
        <f t="shared" si="2"/>
        <v>0</v>
      </c>
      <c r="O33" s="16"/>
      <c r="P33" s="7"/>
      <c r="Q33" s="154">
        <v>1000</v>
      </c>
      <c r="R33" s="163">
        <v>14.98</v>
      </c>
      <c r="S33" s="160">
        <f t="shared" si="3"/>
        <v>0</v>
      </c>
      <c r="T33" s="16"/>
      <c r="V33" s="8">
        <v>1000</v>
      </c>
      <c r="W33" s="158">
        <v>2.2879999999999998</v>
      </c>
      <c r="X33" s="11">
        <f t="shared" si="4"/>
        <v>0</v>
      </c>
      <c r="Y33" s="16"/>
      <c r="AA33" s="8">
        <v>1000</v>
      </c>
      <c r="AB33" s="158">
        <v>2.2879999999999998</v>
      </c>
      <c r="AC33" s="11" t="e">
        <f t="shared" si="5"/>
        <v>#REF!</v>
      </c>
      <c r="AD33" s="16"/>
      <c r="AE33" s="7"/>
      <c r="AF33" s="154">
        <v>1000</v>
      </c>
      <c r="AG33" s="163">
        <v>14.98</v>
      </c>
      <c r="AH33" s="160" t="e">
        <f t="shared" si="6"/>
        <v>#REF!</v>
      </c>
      <c r="AI33" s="16"/>
    </row>
    <row r="34" spans="2:35" ht="16" thickBot="1" x14ac:dyDescent="0.25">
      <c r="B34" s="8">
        <v>1050</v>
      </c>
      <c r="C34" s="158">
        <v>2.323</v>
      </c>
      <c r="D34" s="11">
        <f t="shared" si="0"/>
        <v>0</v>
      </c>
      <c r="E34" s="16"/>
      <c r="F34" s="7"/>
      <c r="G34" s="154">
        <v>1050</v>
      </c>
      <c r="H34" s="163">
        <v>15.06</v>
      </c>
      <c r="I34" s="160">
        <f t="shared" si="1"/>
        <v>0</v>
      </c>
      <c r="J34" s="16"/>
      <c r="L34" s="8">
        <v>1050</v>
      </c>
      <c r="M34" s="158">
        <v>2.323</v>
      </c>
      <c r="N34" s="11">
        <f t="shared" si="2"/>
        <v>0</v>
      </c>
      <c r="O34" s="16"/>
      <c r="P34" s="7"/>
      <c r="Q34" s="154">
        <v>1050</v>
      </c>
      <c r="R34" s="163">
        <v>15.06</v>
      </c>
      <c r="S34" s="160">
        <f t="shared" si="3"/>
        <v>0</v>
      </c>
      <c r="T34" s="16"/>
      <c r="V34" s="8">
        <v>1050</v>
      </c>
      <c r="W34" s="158">
        <v>2.323</v>
      </c>
      <c r="X34" s="11">
        <f t="shared" si="4"/>
        <v>0</v>
      </c>
      <c r="Y34" s="16"/>
      <c r="AA34" s="8">
        <v>1050</v>
      </c>
      <c r="AB34" s="158">
        <v>2.323</v>
      </c>
      <c r="AC34" s="11" t="e">
        <f t="shared" si="5"/>
        <v>#REF!</v>
      </c>
      <c r="AD34" s="16"/>
      <c r="AE34" s="7"/>
      <c r="AF34" s="154">
        <v>1050</v>
      </c>
      <c r="AG34" s="163">
        <v>15.06</v>
      </c>
      <c r="AH34" s="160" t="e">
        <f t="shared" si="6"/>
        <v>#REF!</v>
      </c>
      <c r="AI34" s="16"/>
    </row>
    <row r="35" spans="2:35" ht="16" thickBot="1" x14ac:dyDescent="0.25">
      <c r="B35" s="8">
        <v>1100</v>
      </c>
      <c r="C35" s="158">
        <v>2.3580000000000001</v>
      </c>
      <c r="D35" s="11">
        <f t="shared" si="0"/>
        <v>0</v>
      </c>
      <c r="E35" s="16"/>
      <c r="F35" s="7"/>
      <c r="G35" s="154">
        <v>1100</v>
      </c>
      <c r="H35" s="163">
        <v>15.15</v>
      </c>
      <c r="I35" s="160">
        <f t="shared" si="1"/>
        <v>0</v>
      </c>
      <c r="J35" s="16"/>
      <c r="L35" s="8">
        <v>1100</v>
      </c>
      <c r="M35" s="158">
        <v>2.3580000000000001</v>
      </c>
      <c r="N35" s="11">
        <f t="shared" si="2"/>
        <v>0</v>
      </c>
      <c r="O35" s="16"/>
      <c r="P35" s="7"/>
      <c r="Q35" s="154">
        <v>1100</v>
      </c>
      <c r="R35" s="163">
        <v>15.15</v>
      </c>
      <c r="S35" s="160">
        <f t="shared" si="3"/>
        <v>0</v>
      </c>
      <c r="T35" s="16"/>
      <c r="V35" s="8">
        <v>1100</v>
      </c>
      <c r="W35" s="158">
        <v>2.3580000000000001</v>
      </c>
      <c r="X35" s="11">
        <f t="shared" si="4"/>
        <v>0</v>
      </c>
      <c r="Y35" s="16"/>
      <c r="AA35" s="8">
        <v>1100</v>
      </c>
      <c r="AB35" s="158">
        <v>2.3580000000000001</v>
      </c>
      <c r="AC35" s="11" t="e">
        <f t="shared" si="5"/>
        <v>#REF!</v>
      </c>
      <c r="AD35" s="16"/>
      <c r="AE35" s="7"/>
      <c r="AF35" s="154">
        <v>1100</v>
      </c>
      <c r="AG35" s="163">
        <v>15.15</v>
      </c>
      <c r="AH35" s="160" t="e">
        <f t="shared" si="6"/>
        <v>#REF!</v>
      </c>
      <c r="AI35" s="16"/>
    </row>
    <row r="36" spans="2:35" ht="16" thickBot="1" x14ac:dyDescent="0.25">
      <c r="B36" s="8">
        <v>1150</v>
      </c>
      <c r="C36" s="158">
        <v>2.3919999999999999</v>
      </c>
      <c r="D36" s="11">
        <f t="shared" si="0"/>
        <v>0</v>
      </c>
      <c r="E36" s="16"/>
      <c r="G36" s="154">
        <v>1150</v>
      </c>
      <c r="H36" s="163">
        <v>15.25</v>
      </c>
      <c r="I36" s="160">
        <f t="shared" si="1"/>
        <v>0</v>
      </c>
      <c r="J36" s="16"/>
      <c r="L36" s="8">
        <v>1150</v>
      </c>
      <c r="M36" s="158">
        <v>2.3919999999999999</v>
      </c>
      <c r="N36" s="11">
        <f t="shared" si="2"/>
        <v>0</v>
      </c>
      <c r="O36" s="16"/>
      <c r="Q36" s="154">
        <v>1150</v>
      </c>
      <c r="R36" s="163">
        <v>15.25</v>
      </c>
      <c r="S36" s="160">
        <f t="shared" si="3"/>
        <v>0</v>
      </c>
      <c r="T36" s="16"/>
      <c r="V36" s="8">
        <v>1150</v>
      </c>
      <c r="W36" s="158">
        <v>2.3919999999999999</v>
      </c>
      <c r="X36" s="11">
        <f t="shared" si="4"/>
        <v>0</v>
      </c>
      <c r="Y36" s="16"/>
      <c r="AA36" s="8">
        <v>1150</v>
      </c>
      <c r="AB36" s="158">
        <v>2.3919999999999999</v>
      </c>
      <c r="AC36" s="11" t="e">
        <f t="shared" si="5"/>
        <v>#REF!</v>
      </c>
      <c r="AD36" s="16"/>
      <c r="AF36" s="154">
        <v>1150</v>
      </c>
      <c r="AG36" s="163">
        <v>15.25</v>
      </c>
      <c r="AH36" s="160" t="e">
        <f t="shared" si="6"/>
        <v>#REF!</v>
      </c>
      <c r="AI36" s="16"/>
    </row>
    <row r="37" spans="2:35" ht="16" thickBot="1" x14ac:dyDescent="0.25">
      <c r="B37" s="8">
        <v>1200</v>
      </c>
      <c r="C37" s="158">
        <v>2.4249999999999998</v>
      </c>
      <c r="D37" s="11">
        <f t="shared" si="0"/>
        <v>0</v>
      </c>
      <c r="E37" s="16"/>
      <c r="G37" s="154">
        <v>1200</v>
      </c>
      <c r="H37" s="163">
        <v>15.34</v>
      </c>
      <c r="I37" s="160">
        <f t="shared" si="1"/>
        <v>0</v>
      </c>
      <c r="J37" s="16"/>
      <c r="L37" s="8">
        <v>1200</v>
      </c>
      <c r="M37" s="158">
        <v>2.4249999999999998</v>
      </c>
      <c r="N37" s="11">
        <f t="shared" si="2"/>
        <v>0</v>
      </c>
      <c r="O37" s="16"/>
      <c r="Q37" s="154">
        <v>1200</v>
      </c>
      <c r="R37" s="163">
        <v>15.34</v>
      </c>
      <c r="S37" s="160">
        <f t="shared" si="3"/>
        <v>0</v>
      </c>
      <c r="T37" s="16"/>
      <c r="V37" s="8">
        <v>1200</v>
      </c>
      <c r="W37" s="158">
        <v>2.4249999999999998</v>
      </c>
      <c r="X37" s="11">
        <f t="shared" si="4"/>
        <v>0</v>
      </c>
      <c r="Y37" s="16"/>
      <c r="AA37" s="8">
        <v>1200</v>
      </c>
      <c r="AB37" s="158">
        <v>2.4249999999999998</v>
      </c>
      <c r="AC37" s="11" t="e">
        <f t="shared" si="5"/>
        <v>#REF!</v>
      </c>
      <c r="AD37" s="16"/>
      <c r="AF37" s="154">
        <v>1200</v>
      </c>
      <c r="AG37" s="163">
        <v>15.34</v>
      </c>
      <c r="AH37" s="160" t="e">
        <f t="shared" si="6"/>
        <v>#REF!</v>
      </c>
      <c r="AI37" s="16"/>
    </row>
    <row r="38" spans="2:35" ht="16" thickBot="1" x14ac:dyDescent="0.25">
      <c r="B38" s="8">
        <v>1250</v>
      </c>
      <c r="C38" s="158">
        <v>2.4580000000000002</v>
      </c>
      <c r="D38" s="11">
        <f t="shared" si="0"/>
        <v>0</v>
      </c>
      <c r="E38" s="16"/>
      <c r="G38" s="154">
        <v>1250</v>
      </c>
      <c r="H38" s="163">
        <v>15.44</v>
      </c>
      <c r="I38" s="160">
        <f t="shared" si="1"/>
        <v>0</v>
      </c>
      <c r="J38" s="16"/>
      <c r="L38" s="8">
        <v>1250</v>
      </c>
      <c r="M38" s="158">
        <v>2.4580000000000002</v>
      </c>
      <c r="N38" s="11">
        <f t="shared" si="2"/>
        <v>0</v>
      </c>
      <c r="O38" s="16"/>
      <c r="Q38" s="154">
        <v>1250</v>
      </c>
      <c r="R38" s="163">
        <v>15.44</v>
      </c>
      <c r="S38" s="160">
        <f t="shared" si="3"/>
        <v>0</v>
      </c>
      <c r="T38" s="16"/>
      <c r="V38" s="8">
        <v>1250</v>
      </c>
      <c r="W38" s="158">
        <v>2.4580000000000002</v>
      </c>
      <c r="X38" s="11">
        <f t="shared" si="4"/>
        <v>0</v>
      </c>
      <c r="Y38" s="16"/>
      <c r="AA38" s="8">
        <v>1250</v>
      </c>
      <c r="AB38" s="158">
        <v>2.4580000000000002</v>
      </c>
      <c r="AC38" s="11" t="e">
        <f t="shared" si="5"/>
        <v>#REF!</v>
      </c>
      <c r="AD38" s="16"/>
      <c r="AF38" s="154">
        <v>1250</v>
      </c>
      <c r="AG38" s="163">
        <v>15.44</v>
      </c>
      <c r="AH38" s="160" t="e">
        <f t="shared" si="6"/>
        <v>#REF!</v>
      </c>
      <c r="AI38" s="16"/>
    </row>
    <row r="39" spans="2:35" ht="16" thickBot="1" x14ac:dyDescent="0.25">
      <c r="B39" s="8">
        <v>1300</v>
      </c>
      <c r="C39" s="158">
        <v>2.4900000000000002</v>
      </c>
      <c r="D39" s="11">
        <f t="shared" si="0"/>
        <v>0</v>
      </c>
      <c r="E39" s="16"/>
      <c r="G39" s="154">
        <v>1300</v>
      </c>
      <c r="H39" s="163">
        <v>15.54</v>
      </c>
      <c r="I39" s="160">
        <f t="shared" si="1"/>
        <v>0</v>
      </c>
      <c r="J39" s="16"/>
      <c r="L39" s="8">
        <v>1300</v>
      </c>
      <c r="M39" s="158">
        <v>2.4900000000000002</v>
      </c>
      <c r="N39" s="11">
        <f t="shared" si="2"/>
        <v>0</v>
      </c>
      <c r="O39" s="16"/>
      <c r="Q39" s="154">
        <v>1300</v>
      </c>
      <c r="R39" s="163">
        <v>15.54</v>
      </c>
      <c r="S39" s="160">
        <f t="shared" si="3"/>
        <v>0</v>
      </c>
      <c r="T39" s="16"/>
      <c r="V39" s="8">
        <v>1300</v>
      </c>
      <c r="W39" s="158">
        <v>2.4900000000000002</v>
      </c>
      <c r="X39" s="11">
        <f t="shared" si="4"/>
        <v>0</v>
      </c>
      <c r="Y39" s="16"/>
      <c r="AA39" s="8">
        <v>1300</v>
      </c>
      <c r="AB39" s="158">
        <v>2.4900000000000002</v>
      </c>
      <c r="AC39" s="11" t="e">
        <f t="shared" si="5"/>
        <v>#REF!</v>
      </c>
      <c r="AD39" s="16"/>
      <c r="AF39" s="154">
        <v>1300</v>
      </c>
      <c r="AG39" s="163">
        <v>15.54</v>
      </c>
      <c r="AH39" s="160" t="e">
        <f t="shared" si="6"/>
        <v>#REF!</v>
      </c>
      <c r="AI39" s="16"/>
    </row>
    <row r="40" spans="2:35" ht="16" thickBot="1" x14ac:dyDescent="0.25">
      <c r="B40" s="8">
        <v>1350</v>
      </c>
      <c r="C40" s="158">
        <v>2.5209999999999999</v>
      </c>
      <c r="D40" s="11">
        <f t="shared" si="0"/>
        <v>0</v>
      </c>
      <c r="E40" s="16"/>
      <c r="G40" s="154">
        <v>1350</v>
      </c>
      <c r="H40" s="163">
        <v>15.65</v>
      </c>
      <c r="I40" s="160">
        <f t="shared" si="1"/>
        <v>0</v>
      </c>
      <c r="J40" s="16"/>
      <c r="L40" s="8">
        <v>1350</v>
      </c>
      <c r="M40" s="158">
        <v>2.5209999999999999</v>
      </c>
      <c r="N40" s="11">
        <f t="shared" si="2"/>
        <v>0</v>
      </c>
      <c r="O40" s="16"/>
      <c r="Q40" s="154">
        <v>1350</v>
      </c>
      <c r="R40" s="163">
        <v>15.65</v>
      </c>
      <c r="S40" s="160">
        <f t="shared" si="3"/>
        <v>0</v>
      </c>
      <c r="T40" s="16"/>
      <c r="V40" s="8">
        <v>1350</v>
      </c>
      <c r="W40" s="158">
        <v>2.5209999999999999</v>
      </c>
      <c r="X40" s="11">
        <f t="shared" si="4"/>
        <v>0</v>
      </c>
      <c r="Y40" s="16"/>
      <c r="AA40" s="8">
        <v>1350</v>
      </c>
      <c r="AB40" s="158">
        <v>2.5209999999999999</v>
      </c>
      <c r="AC40" s="11" t="e">
        <f t="shared" si="5"/>
        <v>#REF!</v>
      </c>
      <c r="AD40" s="16"/>
      <c r="AF40" s="154">
        <v>1350</v>
      </c>
      <c r="AG40" s="163">
        <v>15.65</v>
      </c>
      <c r="AH40" s="160" t="e">
        <f t="shared" si="6"/>
        <v>#REF!</v>
      </c>
      <c r="AI40" s="16"/>
    </row>
    <row r="41" spans="2:35" ht="16" thickBot="1" x14ac:dyDescent="0.25">
      <c r="B41" s="8">
        <v>1400</v>
      </c>
      <c r="C41" s="158">
        <v>2.552</v>
      </c>
      <c r="D41" s="11">
        <f t="shared" si="0"/>
        <v>0</v>
      </c>
      <c r="E41" s="16"/>
      <c r="G41" s="154">
        <v>1400</v>
      </c>
      <c r="H41" s="163">
        <v>15.77</v>
      </c>
      <c r="I41" s="160">
        <f t="shared" si="1"/>
        <v>0</v>
      </c>
      <c r="J41" s="16"/>
      <c r="L41" s="8">
        <v>1400</v>
      </c>
      <c r="M41" s="158">
        <v>2.552</v>
      </c>
      <c r="N41" s="11">
        <f t="shared" si="2"/>
        <v>0</v>
      </c>
      <c r="O41" s="16"/>
      <c r="Q41" s="154">
        <v>1400</v>
      </c>
      <c r="R41" s="163">
        <v>15.77</v>
      </c>
      <c r="S41" s="160">
        <f t="shared" si="3"/>
        <v>0</v>
      </c>
      <c r="T41" s="16"/>
      <c r="V41" s="8">
        <v>1400</v>
      </c>
      <c r="W41" s="158">
        <v>2.552</v>
      </c>
      <c r="X41" s="11">
        <f t="shared" si="4"/>
        <v>0</v>
      </c>
      <c r="Y41" s="16"/>
      <c r="AA41" s="8">
        <v>1400</v>
      </c>
      <c r="AB41" s="158">
        <v>2.552</v>
      </c>
      <c r="AC41" s="11" t="e">
        <f t="shared" si="5"/>
        <v>#REF!</v>
      </c>
      <c r="AD41" s="16"/>
      <c r="AF41" s="154">
        <v>1400</v>
      </c>
      <c r="AG41" s="163">
        <v>15.77</v>
      </c>
      <c r="AH41" s="160" t="e">
        <f t="shared" si="6"/>
        <v>#REF!</v>
      </c>
      <c r="AI41" s="16"/>
    </row>
    <row r="42" spans="2:35" ht="16" thickBot="1" x14ac:dyDescent="0.25">
      <c r="B42" s="8">
        <v>1500</v>
      </c>
      <c r="C42" s="158">
        <v>2.609</v>
      </c>
      <c r="D42" s="11">
        <f t="shared" si="0"/>
        <v>0</v>
      </c>
      <c r="E42" s="16"/>
      <c r="G42" s="154">
        <v>1500</v>
      </c>
      <c r="H42" s="163">
        <v>16.02</v>
      </c>
      <c r="I42" s="160">
        <f t="shared" si="1"/>
        <v>0</v>
      </c>
      <c r="J42" s="16"/>
      <c r="L42" s="8">
        <v>1500</v>
      </c>
      <c r="M42" s="158">
        <v>2.609</v>
      </c>
      <c r="N42" s="11">
        <f t="shared" si="2"/>
        <v>0</v>
      </c>
      <c r="O42" s="16"/>
      <c r="Q42" s="154">
        <v>1500</v>
      </c>
      <c r="R42" s="163">
        <v>16.02</v>
      </c>
      <c r="S42" s="160">
        <f t="shared" si="3"/>
        <v>0</v>
      </c>
      <c r="T42" s="16"/>
      <c r="V42" s="8">
        <v>1500</v>
      </c>
      <c r="W42" s="158">
        <v>2.609</v>
      </c>
      <c r="X42" s="11">
        <f t="shared" si="4"/>
        <v>0</v>
      </c>
      <c r="Y42" s="16"/>
      <c r="AA42" s="8">
        <v>1500</v>
      </c>
      <c r="AB42" s="158">
        <v>2.609</v>
      </c>
      <c r="AC42" s="11" t="e">
        <f t="shared" si="5"/>
        <v>#REF!</v>
      </c>
      <c r="AD42" s="16"/>
      <c r="AF42" s="154">
        <v>1500</v>
      </c>
      <c r="AG42" s="163">
        <v>16.02</v>
      </c>
      <c r="AH42" s="160" t="e">
        <f t="shared" si="6"/>
        <v>#REF!</v>
      </c>
      <c r="AI42" s="16"/>
    </row>
    <row r="43" spans="2:35" ht="16" thickBot="1" x14ac:dyDescent="0.25">
      <c r="B43" s="8">
        <v>1600</v>
      </c>
      <c r="C43" s="158">
        <v>2.6619999999999999</v>
      </c>
      <c r="D43" s="11">
        <f t="shared" si="0"/>
        <v>0</v>
      </c>
      <c r="E43" s="16"/>
      <c r="G43" s="154">
        <v>1600</v>
      </c>
      <c r="H43" s="163">
        <v>16.23</v>
      </c>
      <c r="I43" s="160">
        <f t="shared" si="1"/>
        <v>0</v>
      </c>
      <c r="J43" s="16"/>
      <c r="L43" s="8">
        <v>1600</v>
      </c>
      <c r="M43" s="158">
        <v>2.6619999999999999</v>
      </c>
      <c r="N43" s="11">
        <f t="shared" si="2"/>
        <v>0</v>
      </c>
      <c r="O43" s="16"/>
      <c r="Q43" s="154">
        <v>1600</v>
      </c>
      <c r="R43" s="163">
        <v>16.23</v>
      </c>
      <c r="S43" s="160">
        <f t="shared" si="3"/>
        <v>0</v>
      </c>
      <c r="T43" s="16"/>
      <c r="V43" s="8">
        <v>1600</v>
      </c>
      <c r="W43" s="158">
        <v>2.6619999999999999</v>
      </c>
      <c r="X43" s="11">
        <f t="shared" si="4"/>
        <v>0</v>
      </c>
      <c r="Y43" s="16"/>
      <c r="AA43" s="8">
        <v>1600</v>
      </c>
      <c r="AB43" s="158">
        <v>2.6619999999999999</v>
      </c>
      <c r="AC43" s="11" t="e">
        <f t="shared" si="5"/>
        <v>#REF!</v>
      </c>
      <c r="AD43" s="16"/>
      <c r="AF43" s="154">
        <v>1600</v>
      </c>
      <c r="AG43" s="163">
        <v>16.23</v>
      </c>
      <c r="AH43" s="160" t="e">
        <f t="shared" si="6"/>
        <v>#REF!</v>
      </c>
      <c r="AI43" s="16"/>
    </row>
    <row r="44" spans="2:35" ht="16" thickBot="1" x14ac:dyDescent="0.25">
      <c r="B44" s="8">
        <v>1700</v>
      </c>
      <c r="C44" s="158">
        <v>2.7109999999999999</v>
      </c>
      <c r="D44" s="11">
        <f t="shared" si="0"/>
        <v>0</v>
      </c>
      <c r="E44" s="16"/>
      <c r="G44" s="156">
        <v>1700</v>
      </c>
      <c r="H44" s="164">
        <v>16.440000000000001</v>
      </c>
      <c r="I44" s="160">
        <f t="shared" si="1"/>
        <v>0</v>
      </c>
      <c r="J44" s="16"/>
      <c r="L44" s="8">
        <v>1700</v>
      </c>
      <c r="M44" s="158">
        <v>2.7109999999999999</v>
      </c>
      <c r="N44" s="11">
        <f t="shared" si="2"/>
        <v>0</v>
      </c>
      <c r="O44" s="16"/>
      <c r="Q44" s="156">
        <v>1700</v>
      </c>
      <c r="R44" s="164">
        <v>16.440000000000001</v>
      </c>
      <c r="S44" s="160">
        <f t="shared" si="3"/>
        <v>0</v>
      </c>
      <c r="T44" s="16"/>
      <c r="V44" s="8">
        <v>1700</v>
      </c>
      <c r="W44" s="158">
        <v>2.7109999999999999</v>
      </c>
      <c r="X44" s="11">
        <f t="shared" si="4"/>
        <v>0</v>
      </c>
      <c r="Y44" s="16"/>
      <c r="AA44" s="8">
        <v>1700</v>
      </c>
      <c r="AB44" s="158">
        <v>2.7109999999999999</v>
      </c>
      <c r="AC44" s="11" t="e">
        <f t="shared" si="5"/>
        <v>#REF!</v>
      </c>
      <c r="AD44" s="16"/>
      <c r="AF44" s="156">
        <v>1700</v>
      </c>
      <c r="AG44" s="164">
        <v>16.440000000000001</v>
      </c>
      <c r="AH44" s="160" t="e">
        <f t="shared" si="6"/>
        <v>#REF!</v>
      </c>
      <c r="AI44" s="16"/>
    </row>
    <row r="45" spans="2:35" x14ac:dyDescent="0.2">
      <c r="B45" s="18"/>
      <c r="C45" s="9"/>
      <c r="D45" s="2"/>
      <c r="E45" s="16"/>
      <c r="G45" s="18"/>
      <c r="H45" s="9"/>
      <c r="I45" s="2"/>
      <c r="J45" s="16"/>
      <c r="L45" s="18"/>
      <c r="M45" s="9"/>
      <c r="N45" s="2"/>
      <c r="O45" s="16"/>
      <c r="Q45" s="18"/>
      <c r="R45" s="9"/>
      <c r="S45" s="2"/>
      <c r="T45" s="16"/>
      <c r="V45" s="18"/>
      <c r="W45" s="9"/>
      <c r="X45" s="2"/>
      <c r="Y45" s="16"/>
      <c r="AA45" s="18"/>
      <c r="AB45" s="9"/>
      <c r="AC45" s="2"/>
      <c r="AD45" s="16"/>
      <c r="AF45" s="18"/>
      <c r="AG45" s="9"/>
      <c r="AH45" s="2"/>
      <c r="AI45" s="16"/>
    </row>
    <row r="46" spans="2:35" ht="28" thickBot="1" x14ac:dyDescent="0.25">
      <c r="B46" s="19" t="s">
        <v>4</v>
      </c>
      <c r="C46" s="20"/>
      <c r="D46" s="24">
        <f>SUM(D12:D44)*1000</f>
        <v>2286.5599999999995</v>
      </c>
      <c r="E46" s="21" t="s">
        <v>0</v>
      </c>
      <c r="G46" s="19" t="s">
        <v>4</v>
      </c>
      <c r="H46" s="20"/>
      <c r="I46" s="24">
        <f>SUM(I12:I44)*1000</f>
        <v>14976.800000000001</v>
      </c>
      <c r="J46" s="21" t="s">
        <v>0</v>
      </c>
      <c r="L46" s="19" t="s">
        <v>4</v>
      </c>
      <c r="M46" s="20"/>
      <c r="N46" s="24">
        <f>SUM(N12:N44)*1000</f>
        <v>1910.3202454584427</v>
      </c>
      <c r="O46" s="21" t="s">
        <v>0</v>
      </c>
      <c r="Q46" s="19" t="s">
        <v>4</v>
      </c>
      <c r="R46" s="20"/>
      <c r="S46" s="24">
        <f>SUM(S12:S44)*1000</f>
        <v>14487.456196366755</v>
      </c>
      <c r="T46" s="21" t="s">
        <v>0</v>
      </c>
      <c r="V46" s="19" t="s">
        <v>4</v>
      </c>
      <c r="W46" s="20"/>
      <c r="X46" s="24">
        <f>SUM(X12:X44)*1000</f>
        <v>1923.4693877551022</v>
      </c>
      <c r="Y46" s="21" t="s">
        <v>0</v>
      </c>
      <c r="AA46" s="19" t="s">
        <v>4</v>
      </c>
      <c r="AB46" s="20"/>
      <c r="AC46" s="24" t="e">
        <f>SUM(AC12:AC44)*1000</f>
        <v>#REF!</v>
      </c>
      <c r="AD46" s="21" t="s">
        <v>0</v>
      </c>
      <c r="AF46" s="19" t="s">
        <v>4</v>
      </c>
      <c r="AG46" s="20"/>
      <c r="AH46" s="24" t="e">
        <f>SUM(AH12:AH44)*1000</f>
        <v>#REF!</v>
      </c>
      <c r="AI46" s="21" t="s">
        <v>0</v>
      </c>
    </row>
    <row r="83" spans="7:8" x14ac:dyDescent="0.2">
      <c r="G83" s="2"/>
      <c r="H83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8"/>
  <dimension ref="B1:MC123"/>
  <sheetViews>
    <sheetView topLeftCell="KF1" zoomScale="95" zoomScaleNormal="95" workbookViewId="0">
      <selection activeCell="KS6" sqref="KS6"/>
    </sheetView>
  </sheetViews>
  <sheetFormatPr baseColWidth="10" defaultColWidth="8.83203125" defaultRowHeight="15" x14ac:dyDescent="0.2"/>
  <cols>
    <col min="1" max="1" width="1.6640625" customWidth="1"/>
    <col min="2" max="3" width="8.83203125" customWidth="1"/>
    <col min="4" max="4" width="10.6640625" customWidth="1"/>
    <col min="5" max="5" width="8.83203125" customWidth="1"/>
    <col min="6" max="6" width="6" bestFit="1" customWidth="1"/>
    <col min="7" max="7" width="1.6640625" customWidth="1"/>
    <col min="8" max="8" width="8.83203125" customWidth="1"/>
    <col min="9" max="9" width="13.5" customWidth="1"/>
    <col min="10" max="10" width="12" customWidth="1"/>
    <col min="11" max="11" width="5.33203125" bestFit="1" customWidth="1"/>
    <col min="12" max="12" width="2.5" customWidth="1"/>
    <col min="13" max="13" width="4.83203125" customWidth="1"/>
    <col min="14" max="14" width="10.1640625" customWidth="1"/>
    <col min="15" max="15" width="13" customWidth="1"/>
    <col min="16" max="16" width="5.33203125" bestFit="1" customWidth="1"/>
    <col min="17" max="17" width="2" customWidth="1"/>
    <col min="21" max="21" width="5.6640625" bestFit="1" customWidth="1"/>
    <col min="22" max="22" width="4.33203125" customWidth="1"/>
    <col min="24" max="24" width="11.83203125" customWidth="1"/>
    <col min="26" max="26" width="5.1640625" bestFit="1" customWidth="1"/>
    <col min="27" max="27" width="2.33203125" customWidth="1"/>
    <col min="32" max="32" width="2.83203125" customWidth="1"/>
    <col min="37" max="37" width="2.83203125" customWidth="1"/>
    <col min="72" max="72" width="4.83203125" customWidth="1"/>
    <col min="77" max="77" width="6" customWidth="1"/>
    <col min="92" max="92" width="4.83203125" customWidth="1"/>
    <col min="97" max="97" width="4.6640625" customWidth="1"/>
  </cols>
  <sheetData>
    <row r="1" spans="2:341" ht="16" thickBot="1" x14ac:dyDescent="0.25"/>
    <row r="2" spans="2:341" ht="18" thickBot="1" x14ac:dyDescent="0.3">
      <c r="C2" s="40" t="s">
        <v>412</v>
      </c>
      <c r="D2" s="41"/>
      <c r="E2" s="41"/>
      <c r="F2" s="41"/>
      <c r="G2" s="41"/>
      <c r="H2" s="41"/>
      <c r="I2" s="41"/>
      <c r="J2" s="41"/>
      <c r="K2" s="42"/>
      <c r="Q2" s="5"/>
      <c r="R2" s="5"/>
      <c r="S2" s="5"/>
      <c r="T2" s="5"/>
      <c r="U2" s="5"/>
      <c r="V2" s="5"/>
      <c r="W2" s="40" t="s">
        <v>554</v>
      </c>
      <c r="X2" s="41"/>
      <c r="Y2" s="41"/>
      <c r="Z2" s="41"/>
      <c r="AA2" s="41"/>
      <c r="AB2" s="41"/>
      <c r="AC2" s="41"/>
      <c r="AD2" s="41"/>
      <c r="AE2" s="42"/>
      <c r="AQ2" s="40" t="s">
        <v>175</v>
      </c>
      <c r="AR2" s="41"/>
      <c r="AS2" s="41"/>
      <c r="AT2" s="41"/>
      <c r="AU2" s="41"/>
      <c r="AV2" s="41"/>
      <c r="AW2" s="41"/>
      <c r="AX2" s="41"/>
      <c r="AY2" s="42"/>
      <c r="BE2" s="5"/>
      <c r="BF2" s="5"/>
      <c r="BG2" s="5"/>
      <c r="BH2" s="5"/>
      <c r="BI2" s="5"/>
      <c r="BK2" s="40" t="s">
        <v>130</v>
      </c>
      <c r="BL2" s="41"/>
      <c r="BM2" s="41"/>
      <c r="BN2" s="41"/>
      <c r="BO2" s="41"/>
      <c r="BP2" s="41"/>
      <c r="BQ2" s="41"/>
      <c r="BR2" s="41"/>
      <c r="BS2" s="42"/>
      <c r="CE2" s="40" t="s">
        <v>567</v>
      </c>
      <c r="CF2" s="41"/>
      <c r="CG2" s="41"/>
      <c r="CH2" s="41"/>
      <c r="CI2" s="41"/>
      <c r="CJ2" s="41"/>
      <c r="CK2" s="41"/>
      <c r="CL2" s="41"/>
      <c r="CM2" s="42"/>
      <c r="CY2" s="40" t="s">
        <v>287</v>
      </c>
      <c r="CZ2" s="41"/>
      <c r="DA2" s="41"/>
      <c r="DB2" s="41"/>
      <c r="DC2" s="41"/>
      <c r="DD2" s="41"/>
      <c r="DE2" s="41"/>
      <c r="DF2" s="41"/>
      <c r="DG2" s="42"/>
      <c r="DS2" s="40" t="s">
        <v>414</v>
      </c>
      <c r="DT2" s="41"/>
      <c r="DU2" s="41"/>
      <c r="DV2" s="41"/>
      <c r="DW2" s="41"/>
      <c r="DX2" s="41"/>
      <c r="DY2" s="41"/>
      <c r="DZ2" s="41"/>
      <c r="EA2" s="42"/>
      <c r="EM2" s="40" t="s">
        <v>291</v>
      </c>
      <c r="EN2" s="41"/>
      <c r="EO2" s="41"/>
      <c r="EP2" s="41"/>
      <c r="EQ2" s="41"/>
      <c r="ER2" s="41"/>
      <c r="ES2" s="41"/>
      <c r="ET2" s="41"/>
      <c r="EU2" s="42"/>
      <c r="EW2" s="40" t="s">
        <v>294</v>
      </c>
      <c r="EX2" s="41"/>
      <c r="EY2" s="41"/>
      <c r="EZ2" s="41"/>
      <c r="FA2" s="41"/>
      <c r="FB2" s="41"/>
      <c r="FC2" s="41"/>
      <c r="FD2" s="41"/>
      <c r="FE2" s="42"/>
      <c r="FG2" s="40" t="s">
        <v>295</v>
      </c>
      <c r="FH2" s="41"/>
      <c r="FI2" s="41"/>
      <c r="FJ2" s="41"/>
      <c r="FK2" s="41"/>
      <c r="FL2" s="41"/>
      <c r="FM2" s="41"/>
      <c r="FN2" s="41"/>
      <c r="FO2" s="42"/>
      <c r="GA2" s="40" t="s">
        <v>295</v>
      </c>
      <c r="GB2" s="41"/>
      <c r="GC2" s="41"/>
      <c r="GD2" s="41"/>
      <c r="GE2" s="41"/>
      <c r="GF2" s="41"/>
      <c r="GG2" s="41"/>
      <c r="GH2" s="41"/>
      <c r="GI2" s="42"/>
      <c r="GU2" s="40" t="s">
        <v>429</v>
      </c>
      <c r="GV2" s="41"/>
      <c r="GW2" s="41"/>
      <c r="GX2" s="41"/>
      <c r="GY2" s="41"/>
      <c r="GZ2" s="41"/>
      <c r="HA2" s="41"/>
      <c r="HB2" s="41"/>
      <c r="HC2" s="42"/>
      <c r="HI2" s="5"/>
      <c r="HJ2" s="5"/>
      <c r="HK2" s="5"/>
      <c r="HL2" s="5"/>
      <c r="HM2" s="5"/>
      <c r="HO2" s="40" t="s">
        <v>430</v>
      </c>
      <c r="HP2" s="41"/>
      <c r="HQ2" s="41"/>
      <c r="HR2" s="41"/>
      <c r="HS2" s="41"/>
      <c r="HT2" s="41"/>
      <c r="HU2" s="41"/>
      <c r="HV2" s="41"/>
      <c r="HW2" s="42"/>
      <c r="IC2" s="5"/>
      <c r="ID2" s="5"/>
      <c r="IE2" s="5"/>
      <c r="IF2" s="5"/>
      <c r="IG2" s="5"/>
      <c r="II2" s="40" t="s">
        <v>431</v>
      </c>
      <c r="IJ2" s="41"/>
      <c r="IK2" s="41"/>
      <c r="IL2" s="41"/>
      <c r="IM2" s="41"/>
      <c r="IN2" s="41"/>
      <c r="IO2" s="41"/>
      <c r="IP2" s="41"/>
      <c r="IQ2" s="42"/>
      <c r="IW2" s="5"/>
      <c r="IX2" s="5"/>
      <c r="IY2" s="5"/>
      <c r="IZ2" s="5"/>
      <c r="JA2" s="5"/>
      <c r="JC2" s="40" t="s">
        <v>434</v>
      </c>
      <c r="JD2" s="41"/>
      <c r="JE2" s="41"/>
      <c r="JF2" s="41"/>
      <c r="JG2" s="41"/>
      <c r="JH2" s="41"/>
      <c r="JI2" s="41"/>
      <c r="JJ2" s="41"/>
      <c r="JK2" s="42"/>
      <c r="JQ2" s="5"/>
      <c r="JR2" s="5"/>
      <c r="JS2" s="5"/>
      <c r="JT2" s="5"/>
      <c r="JU2" s="5"/>
      <c r="JW2" s="40" t="s">
        <v>435</v>
      </c>
      <c r="JX2" s="41"/>
      <c r="JY2" s="41"/>
      <c r="JZ2" s="41"/>
      <c r="KA2" s="41"/>
      <c r="KB2" s="41"/>
      <c r="KC2" s="41"/>
      <c r="KD2" s="41"/>
      <c r="KE2" s="42"/>
      <c r="KK2" s="5"/>
      <c r="KL2" s="5"/>
      <c r="KM2" s="5"/>
      <c r="KN2" s="5"/>
      <c r="KO2" s="5"/>
      <c r="KQ2" s="40" t="s">
        <v>454</v>
      </c>
      <c r="KR2" s="41"/>
      <c r="KS2" s="41"/>
      <c r="KT2" s="41"/>
      <c r="KU2" s="41"/>
      <c r="KV2" s="41"/>
      <c r="KW2" s="41"/>
      <c r="KX2" s="41"/>
      <c r="KY2" s="42"/>
      <c r="LE2" s="5"/>
      <c r="LF2" s="5"/>
      <c r="LG2" s="5"/>
      <c r="LH2" s="5"/>
      <c r="LI2" s="5"/>
      <c r="LK2" s="40" t="s">
        <v>457</v>
      </c>
      <c r="LL2" s="41"/>
      <c r="LM2" s="41"/>
      <c r="LN2" s="41"/>
      <c r="LO2" s="41"/>
      <c r="LP2" s="41"/>
      <c r="LQ2" s="41"/>
      <c r="LR2" s="41"/>
      <c r="LS2" s="42"/>
      <c r="LY2" s="5"/>
      <c r="LZ2" s="5"/>
      <c r="MA2" s="5"/>
      <c r="MB2" s="5"/>
      <c r="MC2" s="5"/>
    </row>
    <row r="3" spans="2:341" ht="16" thickBot="1" x14ac:dyDescent="0.25">
      <c r="Q3" s="5"/>
      <c r="R3" s="5"/>
      <c r="S3" s="5"/>
      <c r="T3" s="5"/>
      <c r="U3" s="5"/>
      <c r="V3" s="5"/>
      <c r="BE3" s="5"/>
      <c r="BF3" s="5"/>
      <c r="BG3" s="5"/>
      <c r="BH3" s="5"/>
      <c r="BI3" s="5"/>
      <c r="HI3" s="5"/>
      <c r="HJ3" s="5"/>
      <c r="HK3" s="5"/>
      <c r="HL3" s="5"/>
      <c r="HM3" s="5"/>
      <c r="IC3" s="5"/>
      <c r="ID3" s="5"/>
      <c r="IE3" s="5"/>
      <c r="IF3" s="5"/>
      <c r="IG3" s="5"/>
      <c r="IW3" s="5"/>
      <c r="IX3" s="5"/>
      <c r="IY3" s="5"/>
      <c r="IZ3" s="5"/>
      <c r="JA3" s="5"/>
      <c r="JQ3" s="5"/>
      <c r="JR3" s="5"/>
      <c r="JS3" s="5"/>
      <c r="JT3" s="5"/>
      <c r="JU3" s="5"/>
      <c r="KK3" s="5"/>
      <c r="KL3" s="5"/>
      <c r="KM3" s="5"/>
      <c r="KN3" s="5"/>
      <c r="KO3" s="5"/>
      <c r="LE3" s="5"/>
      <c r="LF3" s="5"/>
      <c r="LG3" s="5"/>
      <c r="LH3" s="5"/>
      <c r="LI3" s="5"/>
      <c r="LY3" s="5"/>
      <c r="LZ3" s="5"/>
      <c r="MA3" s="5"/>
      <c r="MB3" s="5"/>
      <c r="MC3" s="5"/>
    </row>
    <row r="4" spans="2:341" x14ac:dyDescent="0.2">
      <c r="C4" s="243" t="s">
        <v>80</v>
      </c>
      <c r="D4" s="134"/>
      <c r="E4" s="244">
        <f>'HE3'!I6</f>
        <v>5.7648896000000001</v>
      </c>
      <c r="F4" s="134" t="s">
        <v>2</v>
      </c>
      <c r="G4" s="134"/>
      <c r="H4" s="243" t="s">
        <v>82</v>
      </c>
      <c r="I4" s="134"/>
      <c r="J4" s="244">
        <f>E4/(E4+E5+E6+E7)</f>
        <v>0.60677593313800271</v>
      </c>
      <c r="K4" s="136"/>
      <c r="Q4" s="5"/>
      <c r="R4" s="5"/>
      <c r="S4" s="5"/>
      <c r="T4" s="5"/>
      <c r="U4" s="5"/>
      <c r="V4" s="5"/>
      <c r="W4" s="28" t="s">
        <v>80</v>
      </c>
      <c r="X4" s="29"/>
      <c r="Y4" s="30">
        <f>'HE3'!E6</f>
        <v>0.21618336000000002</v>
      </c>
      <c r="Z4" s="29" t="s">
        <v>2</v>
      </c>
      <c r="AA4" s="29"/>
      <c r="AB4" s="28" t="s">
        <v>82</v>
      </c>
      <c r="AC4" s="29"/>
      <c r="AD4" s="30">
        <f>Y4/(Y4+Y5+Y6+Y7)</f>
        <v>2.2557229952007828E-2</v>
      </c>
      <c r="AE4" s="31"/>
      <c r="AQ4" s="243" t="s">
        <v>277</v>
      </c>
      <c r="AR4" s="134"/>
      <c r="AS4" s="244">
        <f>'CON2'!I6</f>
        <v>5.7648896000000001</v>
      </c>
      <c r="AT4" s="134" t="s">
        <v>2</v>
      </c>
      <c r="AU4" s="134"/>
      <c r="AV4" s="243" t="s">
        <v>555</v>
      </c>
      <c r="AW4" s="134"/>
      <c r="AX4" s="244">
        <f>AS4/(AS4+AS5+AS6+AS7)</f>
        <v>0.60677593313800271</v>
      </c>
      <c r="AY4" s="136"/>
      <c r="BE4" s="5"/>
      <c r="BF4" s="5"/>
      <c r="BG4" s="5"/>
      <c r="BH4" s="5"/>
      <c r="BI4" s="5"/>
      <c r="BK4" s="28" t="s">
        <v>80</v>
      </c>
      <c r="BL4" s="29"/>
      <c r="BM4" s="30">
        <f>'HE3'!E6</f>
        <v>0.21618336000000002</v>
      </c>
      <c r="BN4" s="29" t="s">
        <v>2</v>
      </c>
      <c r="BO4" s="29"/>
      <c r="BP4" s="28" t="s">
        <v>82</v>
      </c>
      <c r="BQ4" s="29"/>
      <c r="BR4" s="30">
        <f>BM4/(BM4+BM5+BM6+BM7)</f>
        <v>2.2557229952007828E-2</v>
      </c>
      <c r="BS4" s="31"/>
      <c r="CE4" s="28" t="s">
        <v>80</v>
      </c>
      <c r="CF4" s="29"/>
      <c r="CG4" s="30">
        <f>'HE2'!E6</f>
        <v>16.242576448000001</v>
      </c>
      <c r="CH4" s="29" t="s">
        <v>2</v>
      </c>
      <c r="CI4" s="29"/>
      <c r="CJ4" s="28" t="s">
        <v>82</v>
      </c>
      <c r="CK4" s="29"/>
      <c r="CL4" s="30">
        <f>CG4/(CG4+CG5+CG6+CG7)</f>
        <v>0.98800752385517732</v>
      </c>
      <c r="CM4" s="31"/>
      <c r="CY4" s="28" t="s">
        <v>80</v>
      </c>
      <c r="CZ4" s="29"/>
      <c r="DA4" s="30">
        <f>'HE2'!E6</f>
        <v>16.242576448000001</v>
      </c>
      <c r="DB4" s="29" t="s">
        <v>2</v>
      </c>
      <c r="DC4" s="29"/>
      <c r="DD4" s="28" t="s">
        <v>82</v>
      </c>
      <c r="DE4" s="29"/>
      <c r="DF4" s="30">
        <f>DA4/(DA4+DA5+DA6+DA7)</f>
        <v>0.98800752385517732</v>
      </c>
      <c r="DG4" s="31"/>
      <c r="DS4" s="28" t="s">
        <v>293</v>
      </c>
      <c r="DT4" s="29"/>
      <c r="DU4" s="30">
        <f>'HE3'!E6</f>
        <v>0.21618336000000002</v>
      </c>
      <c r="DV4" s="29" t="s">
        <v>2</v>
      </c>
      <c r="DW4" s="29"/>
      <c r="DX4" s="28" t="s">
        <v>555</v>
      </c>
      <c r="DY4" s="29"/>
      <c r="DZ4" s="30">
        <f>DU4/(DU4+DU5+DU6+DU7)</f>
        <v>2.2557229952007828E-2</v>
      </c>
      <c r="EA4" s="31"/>
      <c r="EM4" s="28" t="s">
        <v>80</v>
      </c>
      <c r="EN4" s="29"/>
      <c r="EO4" s="30" t="e">
        <f>'HE6'!#REF!</f>
        <v>#REF!</v>
      </c>
      <c r="EP4" s="29" t="s">
        <v>2</v>
      </c>
      <c r="EQ4" s="29"/>
      <c r="ER4" s="28" t="s">
        <v>82</v>
      </c>
      <c r="ES4" s="29"/>
      <c r="ET4" s="30" t="e">
        <f>EO4/(EO4+EO5+EO6+EO7)</f>
        <v>#REF!</v>
      </c>
      <c r="EU4" s="31"/>
      <c r="EW4" s="243" t="s">
        <v>80</v>
      </c>
      <c r="EX4" s="134"/>
      <c r="EY4" s="244">
        <v>0</v>
      </c>
      <c r="EZ4" s="134" t="s">
        <v>2</v>
      </c>
      <c r="FA4" s="134"/>
      <c r="FB4" s="243" t="s">
        <v>82</v>
      </c>
      <c r="FC4" s="134"/>
      <c r="FD4" s="244">
        <f>EY4/(EY4+EY5+EY6+EY7)</f>
        <v>0</v>
      </c>
      <c r="FE4" s="136"/>
      <c r="FG4" s="243" t="s">
        <v>80</v>
      </c>
      <c r="FH4" s="134"/>
      <c r="FI4" s="244">
        <f>'V1'!G10</f>
        <v>0.38913004799999995</v>
      </c>
      <c r="FJ4" s="134" t="s">
        <v>2</v>
      </c>
      <c r="FK4" s="134"/>
      <c r="FL4" s="243" t="s">
        <v>82</v>
      </c>
      <c r="FM4" s="134"/>
      <c r="FN4" s="244">
        <f>FI4/(FI4+FI5+FI6+FI7)</f>
        <v>0.66372378810734023</v>
      </c>
      <c r="FO4" s="136"/>
      <c r="GA4" s="243" t="s">
        <v>80</v>
      </c>
      <c r="GB4" s="134"/>
      <c r="GC4" s="244">
        <f>'V2'!G10</f>
        <v>0.21618336000000002</v>
      </c>
      <c r="GD4" s="134" t="s">
        <v>2</v>
      </c>
      <c r="GE4" s="134"/>
      <c r="GF4" s="243" t="s">
        <v>82</v>
      </c>
      <c r="GG4" s="134"/>
      <c r="GH4" s="244">
        <f>GC4/(GC4+GC5+GC6+GC7)</f>
        <v>0.13007637642638825</v>
      </c>
      <c r="GI4" s="136"/>
      <c r="GU4" s="28" t="s">
        <v>277</v>
      </c>
      <c r="GV4" s="29"/>
      <c r="GW4" s="30">
        <f>'HE5'!E6</f>
        <v>0.21618336000000016</v>
      </c>
      <c r="GX4" s="29" t="s">
        <v>2</v>
      </c>
      <c r="GY4" s="29"/>
      <c r="GZ4" s="28" t="s">
        <v>569</v>
      </c>
      <c r="HA4" s="29"/>
      <c r="HB4" s="30">
        <f>GW4/(GW4+GW5+GW6+GW7)</f>
        <v>5.4700220931006509E-2</v>
      </c>
      <c r="HC4" s="31"/>
      <c r="HI4" s="5"/>
      <c r="HJ4" s="5"/>
      <c r="HK4" s="5"/>
      <c r="HL4" s="5"/>
      <c r="HM4" s="5"/>
      <c r="HO4" s="243" t="s">
        <v>80</v>
      </c>
      <c r="HP4" s="134"/>
      <c r="HQ4" s="244">
        <f>'HE5'!I6</f>
        <v>1.0809168</v>
      </c>
      <c r="HR4" s="134" t="s">
        <v>2</v>
      </c>
      <c r="HS4" s="134"/>
      <c r="HT4" s="243" t="s">
        <v>82</v>
      </c>
      <c r="HU4" s="134"/>
      <c r="HV4" s="244">
        <f>HQ4/(HQ4+HQ5+HQ6+HQ7)</f>
        <v>0.27240044950289771</v>
      </c>
      <c r="HW4" s="136"/>
      <c r="IC4" s="5"/>
      <c r="ID4" s="5"/>
      <c r="IE4" s="5"/>
      <c r="IF4" s="5"/>
      <c r="IG4" s="5"/>
      <c r="II4" s="28" t="s">
        <v>80</v>
      </c>
      <c r="IJ4" s="29"/>
      <c r="IK4" s="30">
        <f>'HE5'!E6</f>
        <v>0.21618336000000016</v>
      </c>
      <c r="IL4" s="29" t="s">
        <v>2</v>
      </c>
      <c r="IM4" s="29"/>
      <c r="IN4" s="28" t="s">
        <v>82</v>
      </c>
      <c r="IO4" s="29"/>
      <c r="IP4" s="30">
        <f>IK4/(IK4+IK5+IK6+IK7)</f>
        <v>5.4700220931006509E-2</v>
      </c>
      <c r="IQ4" s="31"/>
      <c r="IW4" s="5"/>
      <c r="IX4" s="5"/>
      <c r="IY4" s="5"/>
      <c r="IZ4" s="5"/>
      <c r="JA4" s="5"/>
      <c r="JC4" s="243" t="s">
        <v>80</v>
      </c>
      <c r="JD4" s="134"/>
      <c r="JE4" s="244">
        <f>'CON3'!I6</f>
        <v>4.1680151808000003</v>
      </c>
      <c r="JF4" s="134" t="s">
        <v>2</v>
      </c>
      <c r="JG4" s="134"/>
      <c r="JH4" s="243" t="s">
        <v>82</v>
      </c>
      <c r="JI4" s="134"/>
      <c r="JJ4" s="244">
        <f>JE4/(JE4+JE5+JE6+JE7)</f>
        <v>0.52733121284096718</v>
      </c>
      <c r="JK4" s="136"/>
      <c r="JQ4" s="5"/>
      <c r="JR4" s="5"/>
      <c r="JS4" s="5"/>
      <c r="JT4" s="5"/>
      <c r="JU4" s="5"/>
      <c r="JW4" s="243" t="s">
        <v>80</v>
      </c>
      <c r="JX4" s="134"/>
      <c r="JY4" s="244">
        <f>'CON4'!I6</f>
        <v>1.0809168</v>
      </c>
      <c r="JZ4" s="134" t="s">
        <v>2</v>
      </c>
      <c r="KA4" s="134"/>
      <c r="KB4" s="243" t="s">
        <v>82</v>
      </c>
      <c r="KC4" s="134"/>
      <c r="KD4" s="244">
        <f>JY4/(JY4+JY5+JY6+JY7)</f>
        <v>0.27240044950289771</v>
      </c>
      <c r="KE4" s="136"/>
      <c r="KK4" s="5"/>
      <c r="KL4" s="5"/>
      <c r="KM4" s="5"/>
      <c r="KN4" s="5"/>
      <c r="KO4" s="5"/>
      <c r="KQ4" s="243" t="s">
        <v>80</v>
      </c>
      <c r="KR4" s="134"/>
      <c r="KS4" s="244">
        <f>'HE6'!I6</f>
        <v>1.0809168</v>
      </c>
      <c r="KT4" s="134" t="s">
        <v>2</v>
      </c>
      <c r="KU4" s="134"/>
      <c r="KV4" s="243" t="s">
        <v>82</v>
      </c>
      <c r="KW4" s="134"/>
      <c r="KX4" s="244">
        <f>KS4/(KS4+KS5+KS6+KS7)</f>
        <v>0.27240044950289771</v>
      </c>
      <c r="KY4" s="136"/>
      <c r="LE4" s="5"/>
      <c r="LF4" s="5"/>
      <c r="LG4" s="5"/>
      <c r="LH4" s="5"/>
      <c r="LI4" s="5"/>
      <c r="LK4" s="243" t="s">
        <v>80</v>
      </c>
      <c r="LL4" s="134"/>
      <c r="LM4" s="244" t="e">
        <f>#REF!</f>
        <v>#REF!</v>
      </c>
      <c r="LN4" s="134" t="s">
        <v>2</v>
      </c>
      <c r="LO4" s="134"/>
      <c r="LP4" s="243" t="s">
        <v>82</v>
      </c>
      <c r="LQ4" s="134"/>
      <c r="LR4" s="244" t="e">
        <f>LM4/(LM4+LM5+LM6+LM7)</f>
        <v>#REF!</v>
      </c>
      <c r="LS4" s="136"/>
      <c r="LY4" s="5"/>
      <c r="LZ4" s="5"/>
      <c r="MA4" s="5"/>
      <c r="MB4" s="5"/>
      <c r="MC4" s="5"/>
    </row>
    <row r="5" spans="2:341" x14ac:dyDescent="0.2">
      <c r="C5" s="137" t="s">
        <v>65</v>
      </c>
      <c r="D5" s="138"/>
      <c r="E5" s="245">
        <f>'HE3'!I7</f>
        <v>0.19352448000000003</v>
      </c>
      <c r="F5" s="138" t="s">
        <v>2</v>
      </c>
      <c r="G5" s="138"/>
      <c r="H5" s="137" t="s">
        <v>105</v>
      </c>
      <c r="I5" s="138"/>
      <c r="J5" s="245">
        <f>E5/(E4+E5+E6+E7)</f>
        <v>2.0369166642332015E-2</v>
      </c>
      <c r="K5" s="140"/>
      <c r="N5" s="1"/>
      <c r="Q5" s="5"/>
      <c r="R5" s="5"/>
      <c r="S5" s="5"/>
      <c r="T5" s="5"/>
      <c r="U5" s="5"/>
      <c r="V5" s="5"/>
      <c r="W5" s="32" t="s">
        <v>65</v>
      </c>
      <c r="X5" s="33"/>
      <c r="Y5" s="34">
        <f>'HE3'!E7</f>
        <v>1.4457891359999999</v>
      </c>
      <c r="Z5" s="33" t="s">
        <v>2</v>
      </c>
      <c r="AA5" s="33"/>
      <c r="AB5" s="32" t="s">
        <v>105</v>
      </c>
      <c r="AC5" s="33"/>
      <c r="AD5" s="34">
        <f>Y5/(Y4+Y5+Y6+Y7)</f>
        <v>0.1508580401510399</v>
      </c>
      <c r="AE5" s="35"/>
      <c r="AQ5" s="137" t="s">
        <v>65</v>
      </c>
      <c r="AR5" s="138"/>
      <c r="AS5" s="245">
        <f>'CON2'!I7</f>
        <v>0.19352448000000003</v>
      </c>
      <c r="AT5" s="138" t="s">
        <v>2</v>
      </c>
      <c r="AU5" s="138"/>
      <c r="AV5" s="137" t="s">
        <v>105</v>
      </c>
      <c r="AW5" s="138"/>
      <c r="AX5" s="245">
        <f>AS5/(AS4+AS5+AS6+AS7)</f>
        <v>2.0369166642332015E-2</v>
      </c>
      <c r="AY5" s="140"/>
      <c r="BB5" s="1"/>
      <c r="BE5" s="5"/>
      <c r="BF5" s="5"/>
      <c r="BG5" s="5"/>
      <c r="BH5" s="5"/>
      <c r="BI5" s="5"/>
      <c r="BK5" s="32" t="s">
        <v>65</v>
      </c>
      <c r="BL5" s="33"/>
      <c r="BM5" s="34">
        <f>'HE3'!E7</f>
        <v>1.4457891359999999</v>
      </c>
      <c r="BN5" s="33" t="s">
        <v>2</v>
      </c>
      <c r="BO5" s="33"/>
      <c r="BP5" s="32" t="s">
        <v>105</v>
      </c>
      <c r="BQ5" s="33"/>
      <c r="BR5" s="34">
        <f>BM5/(BM4+BM5+BM6+BM7)</f>
        <v>0.1508580401510399</v>
      </c>
      <c r="BS5" s="35"/>
      <c r="CE5" s="32" t="s">
        <v>65</v>
      </c>
      <c r="CF5" s="33"/>
      <c r="CG5" s="34">
        <f>'HE2'!E7</f>
        <v>0.19715306399999999</v>
      </c>
      <c r="CH5" s="33" t="s">
        <v>2</v>
      </c>
      <c r="CI5" s="33"/>
      <c r="CJ5" s="32" t="s">
        <v>105</v>
      </c>
      <c r="CK5" s="33"/>
      <c r="CL5" s="34">
        <f>CG5/(CG4+CG5+CG6+CG7)</f>
        <v>1.1992476144822838E-2</v>
      </c>
      <c r="CM5" s="35"/>
      <c r="CY5" s="32" t="s">
        <v>65</v>
      </c>
      <c r="CZ5" s="33"/>
      <c r="DA5" s="34">
        <f>'HE2'!E7</f>
        <v>0.19715306399999999</v>
      </c>
      <c r="DB5" s="33" t="s">
        <v>2</v>
      </c>
      <c r="DC5" s="33"/>
      <c r="DD5" s="32" t="s">
        <v>105</v>
      </c>
      <c r="DE5" s="33"/>
      <c r="DF5" s="34">
        <f>DA5/(DA4+DA5+DA6+DA7)</f>
        <v>1.1992476144822838E-2</v>
      </c>
      <c r="DG5" s="35"/>
      <c r="DS5" s="32" t="s">
        <v>65</v>
      </c>
      <c r="DT5" s="33"/>
      <c r="DU5" s="34">
        <f>'HE3'!E7</f>
        <v>1.4457891359999999</v>
      </c>
      <c r="DV5" s="33" t="s">
        <v>2</v>
      </c>
      <c r="DW5" s="33"/>
      <c r="DX5" s="32" t="s">
        <v>105</v>
      </c>
      <c r="DY5" s="33"/>
      <c r="DZ5" s="34">
        <f>DU5/(DU4+DU5+DU6+DU7)</f>
        <v>0.1508580401510399</v>
      </c>
      <c r="EA5" s="35"/>
      <c r="EM5" s="32" t="s">
        <v>65</v>
      </c>
      <c r="EN5" s="33"/>
      <c r="EO5" s="34" t="e">
        <f>'HE6'!#REF!</f>
        <v>#REF!</v>
      </c>
      <c r="EP5" s="33" t="s">
        <v>2</v>
      </c>
      <c r="EQ5" s="33"/>
      <c r="ER5" s="32" t="s">
        <v>105</v>
      </c>
      <c r="ES5" s="33"/>
      <c r="ET5" s="34" t="e">
        <f>EO5/(EO4+EO5+EO6+EO7)</f>
        <v>#REF!</v>
      </c>
      <c r="EU5" s="35"/>
      <c r="EW5" s="137" t="s">
        <v>65</v>
      </c>
      <c r="EX5" s="138"/>
      <c r="EY5" s="245">
        <v>0</v>
      </c>
      <c r="EZ5" s="138" t="s">
        <v>2</v>
      </c>
      <c r="FA5" s="138"/>
      <c r="FB5" s="137" t="s">
        <v>105</v>
      </c>
      <c r="FC5" s="138"/>
      <c r="FD5" s="245">
        <f>EY5/(EY4+EY5+EY6+EY7)</f>
        <v>0</v>
      </c>
      <c r="FE5" s="140"/>
      <c r="FG5" s="137" t="s">
        <v>65</v>
      </c>
      <c r="FH5" s="138"/>
      <c r="FI5" s="245">
        <f>'V1'!G11</f>
        <v>0.19715306399999999</v>
      </c>
      <c r="FJ5" s="138" t="s">
        <v>2</v>
      </c>
      <c r="FK5" s="138"/>
      <c r="FL5" s="137" t="s">
        <v>105</v>
      </c>
      <c r="FM5" s="138"/>
      <c r="FN5" s="245">
        <f>FI5/(FI4+FI5+FI6+FI7)</f>
        <v>0.33627621189265983</v>
      </c>
      <c r="FO5" s="140"/>
      <c r="GA5" s="137" t="s">
        <v>65</v>
      </c>
      <c r="GB5" s="138"/>
      <c r="GC5" s="245">
        <f>'V2'!G11</f>
        <v>1.4457891359999999</v>
      </c>
      <c r="GD5" s="138" t="s">
        <v>2</v>
      </c>
      <c r="GE5" s="138"/>
      <c r="GF5" s="137" t="s">
        <v>105</v>
      </c>
      <c r="GG5" s="138"/>
      <c r="GH5" s="245">
        <f>GC5/(GC4+GC5+GC6+GC7)</f>
        <v>0.86992362357361175</v>
      </c>
      <c r="GI5" s="140"/>
      <c r="GU5" s="32" t="s">
        <v>65</v>
      </c>
      <c r="GV5" s="33"/>
      <c r="GW5" s="34">
        <f>'HE5'!E8</f>
        <v>0.19352448000000003</v>
      </c>
      <c r="GX5" s="33" t="s">
        <v>2</v>
      </c>
      <c r="GY5" s="33"/>
      <c r="GZ5" s="32" t="s">
        <v>105</v>
      </c>
      <c r="HA5" s="33"/>
      <c r="HB5" s="34">
        <f>GW5/(GW4+GW5+GW6+GW7)</f>
        <v>4.8966913140577259E-2</v>
      </c>
      <c r="HC5" s="35"/>
      <c r="HF5" s="1"/>
      <c r="HI5" s="5"/>
      <c r="HJ5" s="5"/>
      <c r="HK5" s="5"/>
      <c r="HL5" s="5"/>
      <c r="HM5" s="5"/>
      <c r="HO5" s="137" t="s">
        <v>65</v>
      </c>
      <c r="HP5" s="138"/>
      <c r="HQ5" s="245"/>
      <c r="HR5" s="138" t="s">
        <v>2</v>
      </c>
      <c r="HS5" s="138"/>
      <c r="HT5" s="137" t="s">
        <v>105</v>
      </c>
      <c r="HU5" s="138"/>
      <c r="HV5" s="245">
        <f>HQ5/(HQ4+HQ5+HQ6+HQ7)</f>
        <v>0</v>
      </c>
      <c r="HW5" s="140"/>
      <c r="HZ5" s="1"/>
      <c r="IC5" s="5"/>
      <c r="ID5" s="5"/>
      <c r="IE5" s="5"/>
      <c r="IF5" s="5"/>
      <c r="IG5" s="5"/>
      <c r="II5" s="32" t="s">
        <v>65</v>
      </c>
      <c r="IJ5" s="33"/>
      <c r="IK5" s="34">
        <f>'HE5'!E8</f>
        <v>0.19352448000000003</v>
      </c>
      <c r="IL5" s="33" t="s">
        <v>2</v>
      </c>
      <c r="IM5" s="33"/>
      <c r="IN5" s="32" t="s">
        <v>105</v>
      </c>
      <c r="IO5" s="33"/>
      <c r="IP5" s="34">
        <f>IK5/(IK4+IK5+IK6+IK7)</f>
        <v>4.8966913140577259E-2</v>
      </c>
      <c r="IQ5" s="35"/>
      <c r="IT5" s="1"/>
      <c r="IW5" s="5"/>
      <c r="IX5" s="5"/>
      <c r="IY5" s="5"/>
      <c r="IZ5" s="5"/>
      <c r="JA5" s="5"/>
      <c r="JC5" s="137" t="s">
        <v>65</v>
      </c>
      <c r="JD5" s="138"/>
      <c r="JE5" s="245">
        <f>'CON3'!I7</f>
        <v>0.19352448000000003</v>
      </c>
      <c r="JF5" s="138" t="s">
        <v>2</v>
      </c>
      <c r="JG5" s="138"/>
      <c r="JH5" s="137" t="s">
        <v>105</v>
      </c>
      <c r="JI5" s="138"/>
      <c r="JJ5" s="245">
        <f>JE5/(JE4+JE5+JE6+JE7)</f>
        <v>2.4484435474927891E-2</v>
      </c>
      <c r="JK5" s="140"/>
      <c r="JN5" s="1"/>
      <c r="JQ5" s="5"/>
      <c r="JR5" s="5"/>
      <c r="JS5" s="5"/>
      <c r="JT5" s="5"/>
      <c r="JU5" s="5"/>
      <c r="JW5" s="137" t="s">
        <v>65</v>
      </c>
      <c r="JX5" s="138"/>
      <c r="JY5" s="245">
        <f>'CON4'!I7</f>
        <v>0</v>
      </c>
      <c r="JZ5" s="138" t="s">
        <v>2</v>
      </c>
      <c r="KA5" s="138"/>
      <c r="KB5" s="137" t="s">
        <v>105</v>
      </c>
      <c r="KC5" s="138"/>
      <c r="KD5" s="245">
        <f>JY5/(JY4+JY5+JY6+JY7)</f>
        <v>0</v>
      </c>
      <c r="KE5" s="140"/>
      <c r="KH5" s="1"/>
      <c r="KK5" s="5"/>
      <c r="KL5" s="5"/>
      <c r="KM5" s="5"/>
      <c r="KN5" s="5"/>
      <c r="KO5" s="5"/>
      <c r="KQ5" s="137" t="s">
        <v>65</v>
      </c>
      <c r="KR5" s="138"/>
      <c r="KS5" s="245"/>
      <c r="KT5" s="138" t="s">
        <v>2</v>
      </c>
      <c r="KU5" s="138"/>
      <c r="KV5" s="137" t="s">
        <v>105</v>
      </c>
      <c r="KW5" s="138"/>
      <c r="KX5" s="245">
        <f>KS5/(KS4+KS5+KS6+KS7)</f>
        <v>0</v>
      </c>
      <c r="KY5" s="140"/>
      <c r="LB5" s="1"/>
      <c r="LE5" s="5"/>
      <c r="LF5" s="5"/>
      <c r="LG5" s="5"/>
      <c r="LH5" s="5"/>
      <c r="LI5" s="5"/>
      <c r="LK5" s="137" t="s">
        <v>65</v>
      </c>
      <c r="LL5" s="138"/>
      <c r="LM5" s="245" t="e">
        <f>#REF!</f>
        <v>#REF!</v>
      </c>
      <c r="LN5" s="138" t="s">
        <v>2</v>
      </c>
      <c r="LO5" s="138"/>
      <c r="LP5" s="137" t="s">
        <v>105</v>
      </c>
      <c r="LQ5" s="138"/>
      <c r="LR5" s="245" t="e">
        <f>LM5/(LM4+LM5+LM6+LM7)</f>
        <v>#REF!</v>
      </c>
      <c r="LS5" s="140"/>
      <c r="LV5" s="1"/>
      <c r="LY5" s="5"/>
      <c r="LZ5" s="5"/>
      <c r="MA5" s="5"/>
      <c r="MB5" s="5"/>
      <c r="MC5" s="5"/>
    </row>
    <row r="6" spans="2:341" x14ac:dyDescent="0.2">
      <c r="C6" s="137" t="s">
        <v>103</v>
      </c>
      <c r="D6" s="138"/>
      <c r="E6" s="245">
        <f>'HE3'!I8</f>
        <v>1.0562400000000001</v>
      </c>
      <c r="F6" s="138" t="s">
        <v>2</v>
      </c>
      <c r="G6" s="138"/>
      <c r="H6" s="137" t="s">
        <v>106</v>
      </c>
      <c r="I6" s="138"/>
      <c r="J6" s="245">
        <f>E6/(E4+E5+E6+E7)</f>
        <v>0.11117316307630315</v>
      </c>
      <c r="K6" s="140"/>
      <c r="Q6" s="5"/>
      <c r="R6" s="5"/>
      <c r="S6" s="5"/>
      <c r="T6" s="5"/>
      <c r="U6" s="5"/>
      <c r="V6" s="5"/>
      <c r="W6" s="32" t="s">
        <v>103</v>
      </c>
      <c r="X6" s="33"/>
      <c r="Y6" s="34">
        <f>'HE3'!E8</f>
        <v>7.9217999999999993</v>
      </c>
      <c r="Z6" s="33" t="s">
        <v>2</v>
      </c>
      <c r="AA6" s="33"/>
      <c r="AB6" s="32" t="s">
        <v>106</v>
      </c>
      <c r="AC6" s="33"/>
      <c r="AD6" s="34">
        <f>Y6/(Y4+Y5+Y6+Y7)</f>
        <v>0.8265847298969522</v>
      </c>
      <c r="AE6" s="35"/>
      <c r="AQ6" s="137" t="s">
        <v>103</v>
      </c>
      <c r="AR6" s="138"/>
      <c r="AS6" s="245">
        <f>'CON2'!I8</f>
        <v>1.0562400000000001</v>
      </c>
      <c r="AT6" s="138" t="s">
        <v>2</v>
      </c>
      <c r="AU6" s="138"/>
      <c r="AV6" s="137" t="s">
        <v>106</v>
      </c>
      <c r="AW6" s="138"/>
      <c r="AX6" s="245">
        <f>AS6/(AS4+AS5+AS6+AS7)</f>
        <v>0.11117316307630315</v>
      </c>
      <c r="AY6" s="140"/>
      <c r="BE6" s="5"/>
      <c r="BF6" s="5"/>
      <c r="BG6" s="5"/>
      <c r="BH6" s="5"/>
      <c r="BI6" s="5"/>
      <c r="BK6" s="32" t="s">
        <v>103</v>
      </c>
      <c r="BL6" s="33"/>
      <c r="BM6" s="34">
        <f>'HE3'!E8</f>
        <v>7.9217999999999993</v>
      </c>
      <c r="BN6" s="33" t="s">
        <v>2</v>
      </c>
      <c r="BO6" s="33"/>
      <c r="BP6" s="32" t="s">
        <v>106</v>
      </c>
      <c r="BQ6" s="33"/>
      <c r="BR6" s="34">
        <f>BM6/(BM4+BM5+BM6+BM7)</f>
        <v>0.8265847298969522</v>
      </c>
      <c r="BS6" s="35"/>
      <c r="CE6" s="32" t="s">
        <v>103</v>
      </c>
      <c r="CF6" s="33"/>
      <c r="CG6" s="34"/>
      <c r="CH6" s="33" t="s">
        <v>2</v>
      </c>
      <c r="CI6" s="33"/>
      <c r="CJ6" s="32" t="s">
        <v>106</v>
      </c>
      <c r="CK6" s="33"/>
      <c r="CL6" s="34"/>
      <c r="CM6" s="35"/>
      <c r="CY6" s="32" t="s">
        <v>103</v>
      </c>
      <c r="CZ6" s="33"/>
      <c r="DA6" s="34"/>
      <c r="DB6" s="33" t="s">
        <v>2</v>
      </c>
      <c r="DC6" s="33"/>
      <c r="DD6" s="32" t="s">
        <v>106</v>
      </c>
      <c r="DE6" s="33"/>
      <c r="DF6" s="34">
        <f>DA6/(DA4+DA5+DA6+DA7)</f>
        <v>0</v>
      </c>
      <c r="DG6" s="35"/>
      <c r="DS6" s="32" t="s">
        <v>103</v>
      </c>
      <c r="DT6" s="33"/>
      <c r="DU6" s="34">
        <f>'HE3'!E8</f>
        <v>7.9217999999999993</v>
      </c>
      <c r="DV6" s="33" t="s">
        <v>2</v>
      </c>
      <c r="DW6" s="33"/>
      <c r="DX6" s="32" t="s">
        <v>106</v>
      </c>
      <c r="DY6" s="33"/>
      <c r="DZ6" s="34">
        <f>DU6/(DU4+DU5+DU6+DU7)</f>
        <v>0.8265847298969522</v>
      </c>
      <c r="EA6" s="35"/>
      <c r="EM6" s="32" t="s">
        <v>103</v>
      </c>
      <c r="EN6" s="33"/>
      <c r="EO6" s="34">
        <f>'HE6'!E6</f>
        <v>7.9217999999999993</v>
      </c>
      <c r="EP6" s="33" t="s">
        <v>2</v>
      </c>
      <c r="EQ6" s="33"/>
      <c r="ER6" s="32" t="s">
        <v>106</v>
      </c>
      <c r="ES6" s="33"/>
      <c r="ET6" s="34" t="e">
        <f>EO6/(EO4+EO5+EO6+EO7)</f>
        <v>#REF!</v>
      </c>
      <c r="EU6" s="35"/>
      <c r="EW6" s="137" t="s">
        <v>103</v>
      </c>
      <c r="EX6" s="138"/>
      <c r="EY6" s="245">
        <f>'Input-Results'!T9</f>
        <v>7.9217999999999993</v>
      </c>
      <c r="EZ6" s="138" t="s">
        <v>2</v>
      </c>
      <c r="FA6" s="138"/>
      <c r="FB6" s="137" t="s">
        <v>106</v>
      </c>
      <c r="FC6" s="138"/>
      <c r="FD6" s="245">
        <f>EY6/(EY4+EY5+EY6+EY7)</f>
        <v>1</v>
      </c>
      <c r="FE6" s="140"/>
      <c r="FG6" s="137" t="s">
        <v>103</v>
      </c>
      <c r="FH6" s="138"/>
      <c r="FI6" s="245">
        <f>'V1'!G12</f>
        <v>0</v>
      </c>
      <c r="FJ6" s="138" t="s">
        <v>2</v>
      </c>
      <c r="FK6" s="138"/>
      <c r="FL6" s="137" t="s">
        <v>106</v>
      </c>
      <c r="FM6" s="138"/>
      <c r="FN6" s="245">
        <f>FI6/(FI4+FI5+FI6+FI7)</f>
        <v>0</v>
      </c>
      <c r="FO6" s="140"/>
      <c r="GA6" s="137" t="s">
        <v>103</v>
      </c>
      <c r="GB6" s="138"/>
      <c r="GC6" s="245">
        <f>'V2'!G12</f>
        <v>0</v>
      </c>
      <c r="GD6" s="138" t="s">
        <v>2</v>
      </c>
      <c r="GE6" s="138"/>
      <c r="GF6" s="137" t="s">
        <v>106</v>
      </c>
      <c r="GG6" s="138"/>
      <c r="GH6" s="245">
        <f>GC6/(GC4+GC5+GC6+GC7)</f>
        <v>0</v>
      </c>
      <c r="GI6" s="140"/>
      <c r="GU6" s="32" t="s">
        <v>103</v>
      </c>
      <c r="GV6" s="33"/>
      <c r="GW6" s="34">
        <f>'HE5'!E7</f>
        <v>1.0562400000000001</v>
      </c>
      <c r="GX6" s="33" t="s">
        <v>2</v>
      </c>
      <c r="GY6" s="33"/>
      <c r="GZ6" s="32" t="s">
        <v>106</v>
      </c>
      <c r="HA6" s="33"/>
      <c r="HB6" s="34">
        <f>GW6/(GW4+GW5+GW6+GW7)</f>
        <v>0.2672572086776997</v>
      </c>
      <c r="HC6" s="35"/>
      <c r="HI6" s="5"/>
      <c r="HJ6" s="5"/>
      <c r="HK6" s="5"/>
      <c r="HL6" s="5"/>
      <c r="HM6" s="5"/>
      <c r="HO6" s="137" t="s">
        <v>103</v>
      </c>
      <c r="HP6" s="138"/>
      <c r="HQ6" s="245"/>
      <c r="HR6" s="138" t="s">
        <v>2</v>
      </c>
      <c r="HS6" s="138"/>
      <c r="HT6" s="137" t="s">
        <v>106</v>
      </c>
      <c r="HU6" s="138"/>
      <c r="HV6" s="245">
        <f>HQ6/(HQ4+HQ5+HQ6+HQ7)</f>
        <v>0</v>
      </c>
      <c r="HW6" s="140"/>
      <c r="IC6" s="5"/>
      <c r="ID6" s="5"/>
      <c r="IE6" s="5"/>
      <c r="IF6" s="5"/>
      <c r="IG6" s="5"/>
      <c r="II6" s="32" t="s">
        <v>103</v>
      </c>
      <c r="IJ6" s="33"/>
      <c r="IK6" s="34">
        <f>'HE5'!E7</f>
        <v>1.0562400000000001</v>
      </c>
      <c r="IL6" s="33" t="s">
        <v>2</v>
      </c>
      <c r="IM6" s="33"/>
      <c r="IN6" s="32" t="s">
        <v>106</v>
      </c>
      <c r="IO6" s="33"/>
      <c r="IP6" s="34">
        <f>IK6/(IK4+IK5+IK6+IK7)</f>
        <v>0.2672572086776997</v>
      </c>
      <c r="IQ6" s="35"/>
      <c r="IW6" s="5"/>
      <c r="IX6" s="5"/>
      <c r="IY6" s="5"/>
      <c r="IZ6" s="5"/>
      <c r="JA6" s="5"/>
      <c r="JC6" s="137" t="s">
        <v>103</v>
      </c>
      <c r="JD6" s="138"/>
      <c r="JE6" s="245">
        <f>'CON3'!I8</f>
        <v>1.0562400000000001</v>
      </c>
      <c r="JF6" s="138" t="s">
        <v>2</v>
      </c>
      <c r="JG6" s="138"/>
      <c r="JH6" s="137" t="s">
        <v>106</v>
      </c>
      <c r="JI6" s="138"/>
      <c r="JJ6" s="245">
        <f>JE6/(JE4+JE5+JE6+JE7)</f>
        <v>0.1336339471163433</v>
      </c>
      <c r="JK6" s="140"/>
      <c r="JQ6" s="5"/>
      <c r="JR6" s="5"/>
      <c r="JS6" s="5"/>
      <c r="JT6" s="5"/>
      <c r="JU6" s="5"/>
      <c r="JW6" s="137" t="s">
        <v>103</v>
      </c>
      <c r="JX6" s="138"/>
      <c r="JY6" s="245">
        <f>'CON4'!I8</f>
        <v>0</v>
      </c>
      <c r="JZ6" s="138" t="s">
        <v>2</v>
      </c>
      <c r="KA6" s="138"/>
      <c r="KB6" s="137" t="s">
        <v>106</v>
      </c>
      <c r="KC6" s="138"/>
      <c r="KD6" s="245">
        <f>JY6/(JY4+JY5+JY6+JY7)</f>
        <v>0</v>
      </c>
      <c r="KE6" s="140"/>
      <c r="KK6" s="5"/>
      <c r="KL6" s="5"/>
      <c r="KM6" s="5"/>
      <c r="KN6" s="5"/>
      <c r="KO6" s="5"/>
      <c r="KQ6" s="137" t="s">
        <v>103</v>
      </c>
      <c r="KR6" s="138"/>
      <c r="KS6" s="245"/>
      <c r="KT6" s="138" t="s">
        <v>2</v>
      </c>
      <c r="KU6" s="138"/>
      <c r="KV6" s="137" t="s">
        <v>106</v>
      </c>
      <c r="KW6" s="138"/>
      <c r="KX6" s="245">
        <f>KS6/(KS4+KS5+KS6+KS7)</f>
        <v>0</v>
      </c>
      <c r="KY6" s="140"/>
      <c r="LE6" s="5"/>
      <c r="LF6" s="5"/>
      <c r="LG6" s="5"/>
      <c r="LH6" s="5"/>
      <c r="LI6" s="5"/>
      <c r="LK6" s="137" t="s">
        <v>103</v>
      </c>
      <c r="LL6" s="138"/>
      <c r="LM6" s="245" t="e">
        <f>#REF!</f>
        <v>#REF!</v>
      </c>
      <c r="LN6" s="138" t="s">
        <v>2</v>
      </c>
      <c r="LO6" s="138"/>
      <c r="LP6" s="137" t="s">
        <v>106</v>
      </c>
      <c r="LQ6" s="138"/>
      <c r="LR6" s="245" t="e">
        <f>LM6/(LM4+LM5+LM6+LM7)</f>
        <v>#REF!</v>
      </c>
      <c r="LS6" s="140"/>
      <c r="LY6" s="5"/>
      <c r="LZ6" s="5"/>
      <c r="MA6" s="5"/>
      <c r="MB6" s="5"/>
      <c r="MC6" s="5"/>
    </row>
    <row r="7" spans="2:341" x14ac:dyDescent="0.2">
      <c r="C7" s="137" t="s">
        <v>104</v>
      </c>
      <c r="D7" s="138"/>
      <c r="E7" s="245">
        <f>'HE3'!I9</f>
        <v>2.4861999999999997</v>
      </c>
      <c r="F7" s="138" t="s">
        <v>2</v>
      </c>
      <c r="G7" s="138"/>
      <c r="H7" s="137" t="s">
        <v>108</v>
      </c>
      <c r="I7" s="138"/>
      <c r="J7" s="245">
        <f>E7/(E4+E5+E6+E7)</f>
        <v>0.26168173714336213</v>
      </c>
      <c r="K7" s="140"/>
      <c r="Q7" s="5"/>
      <c r="R7" s="5"/>
      <c r="S7" s="5"/>
      <c r="T7" s="5"/>
      <c r="U7" s="5"/>
      <c r="V7" s="5"/>
      <c r="W7" s="32" t="s">
        <v>283</v>
      </c>
      <c r="X7" s="33"/>
      <c r="Y7" s="34">
        <f>'HE3'!E9</f>
        <v>0</v>
      </c>
      <c r="Z7" s="33" t="s">
        <v>2</v>
      </c>
      <c r="AA7" s="33"/>
      <c r="AB7" s="32" t="s">
        <v>284</v>
      </c>
      <c r="AC7" s="33"/>
      <c r="AD7" s="34">
        <f>Y7/(Y5+Y6+Y7+Y8)</f>
        <v>0</v>
      </c>
      <c r="AE7" s="35"/>
      <c r="AQ7" s="137" t="s">
        <v>104</v>
      </c>
      <c r="AR7" s="138"/>
      <c r="AS7" s="245">
        <f>'CON2'!I9</f>
        <v>2.4861999999999997</v>
      </c>
      <c r="AT7" s="138" t="s">
        <v>2</v>
      </c>
      <c r="AU7" s="138"/>
      <c r="AV7" s="137" t="s">
        <v>108</v>
      </c>
      <c r="AW7" s="138"/>
      <c r="AX7" s="245">
        <f>AS7/(AS4+AS5+AS6+AS7)</f>
        <v>0.26168173714336213</v>
      </c>
      <c r="AY7" s="140"/>
      <c r="BE7" s="5"/>
      <c r="BF7" s="5"/>
      <c r="BG7" s="5"/>
      <c r="BH7" s="5"/>
      <c r="BI7" s="5"/>
      <c r="BK7" s="32" t="s">
        <v>283</v>
      </c>
      <c r="BL7" s="33"/>
      <c r="BM7" s="34">
        <f>'HE3'!E9</f>
        <v>0</v>
      </c>
      <c r="BN7" s="33" t="s">
        <v>2</v>
      </c>
      <c r="BO7" s="33"/>
      <c r="BP7" s="32" t="s">
        <v>284</v>
      </c>
      <c r="BQ7" s="33"/>
      <c r="BR7" s="34">
        <f>BM7/(BM4+BM5+BM6+BM7)</f>
        <v>0</v>
      </c>
      <c r="BS7" s="35"/>
      <c r="CE7" s="32" t="s">
        <v>283</v>
      </c>
      <c r="CF7" s="33"/>
      <c r="CG7" s="34"/>
      <c r="CH7" s="33" t="s">
        <v>2</v>
      </c>
      <c r="CI7" s="33"/>
      <c r="CJ7" s="32" t="s">
        <v>284</v>
      </c>
      <c r="CK7" s="33"/>
      <c r="CL7" s="34"/>
      <c r="CM7" s="35"/>
      <c r="CY7" s="32" t="s">
        <v>283</v>
      </c>
      <c r="CZ7" s="33"/>
      <c r="DA7" s="34"/>
      <c r="DB7" s="33" t="s">
        <v>2</v>
      </c>
      <c r="DC7" s="33"/>
      <c r="DD7" s="32" t="s">
        <v>284</v>
      </c>
      <c r="DE7" s="33"/>
      <c r="DF7" s="34">
        <f>DA7/(DA4+DA5+DA6+DA7)</f>
        <v>0</v>
      </c>
      <c r="DG7" s="35"/>
      <c r="DS7" s="32" t="s">
        <v>283</v>
      </c>
      <c r="DT7" s="33"/>
      <c r="DU7" s="34">
        <f>'HE3'!E9</f>
        <v>0</v>
      </c>
      <c r="DV7" s="33" t="s">
        <v>2</v>
      </c>
      <c r="DW7" s="33"/>
      <c r="DX7" s="32" t="s">
        <v>284</v>
      </c>
      <c r="DY7" s="33"/>
      <c r="DZ7" s="34">
        <f>DU7/(DU4+DU5+DU6+DU7)</f>
        <v>0</v>
      </c>
      <c r="EA7" s="35"/>
      <c r="EM7" s="32" t="s">
        <v>283</v>
      </c>
      <c r="EN7" s="33"/>
      <c r="EO7" s="34" t="e">
        <f>'HE6'!#REF!</f>
        <v>#REF!</v>
      </c>
      <c r="EP7" s="33" t="s">
        <v>2</v>
      </c>
      <c r="EQ7" s="33"/>
      <c r="ER7" s="32" t="s">
        <v>284</v>
      </c>
      <c r="ES7" s="33"/>
      <c r="ET7" s="34" t="e">
        <f>EO7/(EO4+EO5+EO6+EO7)</f>
        <v>#REF!</v>
      </c>
      <c r="EU7" s="35"/>
      <c r="EW7" s="137" t="s">
        <v>283</v>
      </c>
      <c r="EX7" s="138"/>
      <c r="EY7" s="245">
        <v>0</v>
      </c>
      <c r="EZ7" s="138" t="s">
        <v>2</v>
      </c>
      <c r="FA7" s="138"/>
      <c r="FB7" s="137" t="s">
        <v>284</v>
      </c>
      <c r="FC7" s="138"/>
      <c r="FD7" s="245">
        <f>EY7/(EY4+EY5+EY6+EY7)</f>
        <v>0</v>
      </c>
      <c r="FE7" s="140"/>
      <c r="FG7" s="137" t="s">
        <v>283</v>
      </c>
      <c r="FH7" s="138"/>
      <c r="FI7" s="245">
        <f>'V1'!G13</f>
        <v>0</v>
      </c>
      <c r="FJ7" s="138" t="s">
        <v>2</v>
      </c>
      <c r="FK7" s="138"/>
      <c r="FL7" s="137" t="s">
        <v>284</v>
      </c>
      <c r="FM7" s="138"/>
      <c r="FN7" s="245">
        <f>FI7/(FI4+FI5+FI6+FI7)</f>
        <v>0</v>
      </c>
      <c r="FO7" s="140"/>
      <c r="GA7" s="137" t="s">
        <v>283</v>
      </c>
      <c r="GB7" s="138"/>
      <c r="GC7" s="245">
        <f>'V1'!AD13</f>
        <v>0</v>
      </c>
      <c r="GD7" s="138" t="s">
        <v>2</v>
      </c>
      <c r="GE7" s="138"/>
      <c r="GF7" s="137" t="s">
        <v>284</v>
      </c>
      <c r="GG7" s="138"/>
      <c r="GH7" s="245">
        <f>GC7/(GC4+GC5+GC6+GC7)</f>
        <v>0</v>
      </c>
      <c r="GI7" s="140"/>
      <c r="GU7" s="32" t="s">
        <v>104</v>
      </c>
      <c r="GV7" s="33"/>
      <c r="GW7" s="34">
        <f>'HE5'!E9</f>
        <v>2.4861999999999997</v>
      </c>
      <c r="GX7" s="33" t="s">
        <v>2</v>
      </c>
      <c r="GY7" s="33"/>
      <c r="GZ7" s="32" t="s">
        <v>108</v>
      </c>
      <c r="HA7" s="33"/>
      <c r="HB7" s="34">
        <f>GW7/(GW4+GW5+GW6+GW7)</f>
        <v>0.62907565725071657</v>
      </c>
      <c r="HC7" s="35"/>
      <c r="HI7" s="5"/>
      <c r="HJ7" s="5"/>
      <c r="HK7" s="5"/>
      <c r="HL7" s="5"/>
      <c r="HM7" s="5"/>
      <c r="HO7" s="137" t="s">
        <v>104</v>
      </c>
      <c r="HP7" s="138"/>
      <c r="HQ7" s="245">
        <f>'HE5'!I7</f>
        <v>2.8871999999999995</v>
      </c>
      <c r="HR7" s="138" t="s">
        <v>2</v>
      </c>
      <c r="HS7" s="138"/>
      <c r="HT7" s="137" t="s">
        <v>108</v>
      </c>
      <c r="HU7" s="138"/>
      <c r="HV7" s="245">
        <f>HQ7/(HQ4+HQ5+HQ6+HQ7)</f>
        <v>0.72759955049710223</v>
      </c>
      <c r="HW7" s="140"/>
      <c r="IC7" s="5"/>
      <c r="ID7" s="5"/>
      <c r="IE7" s="5"/>
      <c r="IF7" s="5"/>
      <c r="IG7" s="5"/>
      <c r="II7" s="32" t="s">
        <v>104</v>
      </c>
      <c r="IJ7" s="33"/>
      <c r="IK7" s="34">
        <f>'HE5'!E9</f>
        <v>2.4861999999999997</v>
      </c>
      <c r="IL7" s="33" t="s">
        <v>2</v>
      </c>
      <c r="IM7" s="33"/>
      <c r="IN7" s="32" t="s">
        <v>108</v>
      </c>
      <c r="IO7" s="33"/>
      <c r="IP7" s="34">
        <f>IK7/(IK4+IK5+IK6+IK7)</f>
        <v>0.62907565725071657</v>
      </c>
      <c r="IQ7" s="35"/>
      <c r="IW7" s="5"/>
      <c r="IX7" s="5"/>
      <c r="IY7" s="5"/>
      <c r="IZ7" s="5"/>
      <c r="JA7" s="5"/>
      <c r="JC7" s="137" t="s">
        <v>104</v>
      </c>
      <c r="JD7" s="138"/>
      <c r="JE7" s="245">
        <f>'CON3'!I9</f>
        <v>2.4861999999999997</v>
      </c>
      <c r="JF7" s="138" t="s">
        <v>2</v>
      </c>
      <c r="JG7" s="138"/>
      <c r="JH7" s="137" t="s">
        <v>108</v>
      </c>
      <c r="JI7" s="138"/>
      <c r="JJ7" s="245">
        <f>JE7/(JE4+JE5+JE6+JE7)</f>
        <v>0.31455040456776173</v>
      </c>
      <c r="JK7" s="140"/>
      <c r="JQ7" s="5"/>
      <c r="JR7" s="5"/>
      <c r="JS7" s="5"/>
      <c r="JT7" s="5"/>
      <c r="JU7" s="5"/>
      <c r="JW7" s="137" t="s">
        <v>104</v>
      </c>
      <c r="JX7" s="138"/>
      <c r="JY7" s="245">
        <f>'CON4'!I9</f>
        <v>2.8871999999999995</v>
      </c>
      <c r="JZ7" s="138" t="s">
        <v>2</v>
      </c>
      <c r="KA7" s="138"/>
      <c r="KB7" s="137" t="s">
        <v>108</v>
      </c>
      <c r="KC7" s="138"/>
      <c r="KD7" s="245">
        <f>JY7/(JY4+JY5+JY6+JY7)</f>
        <v>0.72759955049710223</v>
      </c>
      <c r="KE7" s="140"/>
      <c r="KK7" s="5"/>
      <c r="KL7" s="5"/>
      <c r="KM7" s="5"/>
      <c r="KN7" s="5"/>
      <c r="KO7" s="5"/>
      <c r="KQ7" s="137" t="s">
        <v>104</v>
      </c>
      <c r="KR7" s="138"/>
      <c r="KS7" s="245">
        <f>'HE6'!I7</f>
        <v>2.8871999999999995</v>
      </c>
      <c r="KT7" s="138" t="s">
        <v>2</v>
      </c>
      <c r="KU7" s="138"/>
      <c r="KV7" s="137" t="s">
        <v>108</v>
      </c>
      <c r="KW7" s="138"/>
      <c r="KX7" s="245">
        <f>KS7/(KS4+KS5+KS6+KS7)</f>
        <v>0.72759955049710223</v>
      </c>
      <c r="KY7" s="140"/>
      <c r="LE7" s="5"/>
      <c r="LF7" s="5"/>
      <c r="LG7" s="5"/>
      <c r="LH7" s="5"/>
      <c r="LI7" s="5"/>
      <c r="LK7" s="137" t="s">
        <v>104</v>
      </c>
      <c r="LL7" s="138"/>
      <c r="LM7" s="245" t="e">
        <f>#REF!</f>
        <v>#REF!</v>
      </c>
      <c r="LN7" s="138" t="s">
        <v>2</v>
      </c>
      <c r="LO7" s="138"/>
      <c r="LP7" s="137" t="s">
        <v>108</v>
      </c>
      <c r="LQ7" s="138"/>
      <c r="LR7" s="245" t="e">
        <f>LM7/(LM4+LM5+LM6+LM7)</f>
        <v>#REF!</v>
      </c>
      <c r="LS7" s="140"/>
      <c r="LY7" s="5"/>
      <c r="LZ7" s="5"/>
      <c r="MA7" s="5"/>
      <c r="MB7" s="5"/>
      <c r="MC7" s="5"/>
    </row>
    <row r="8" spans="2:341" x14ac:dyDescent="0.2">
      <c r="C8" s="137"/>
      <c r="D8" s="138"/>
      <c r="E8" s="138"/>
      <c r="F8" s="138"/>
      <c r="G8" s="138"/>
      <c r="H8" s="137"/>
      <c r="I8" s="138"/>
      <c r="J8" s="245"/>
      <c r="K8" s="140"/>
      <c r="Q8" s="5"/>
      <c r="R8" s="5"/>
      <c r="S8" s="5"/>
      <c r="T8" s="5"/>
      <c r="U8" s="5"/>
      <c r="V8" s="5"/>
      <c r="W8" s="32"/>
      <c r="X8" s="33"/>
      <c r="Y8" s="33"/>
      <c r="Z8" s="33"/>
      <c r="AA8" s="33"/>
      <c r="AB8" s="32"/>
      <c r="AC8" s="33"/>
      <c r="AD8" s="34"/>
      <c r="AE8" s="35"/>
      <c r="AQ8" s="137"/>
      <c r="AR8" s="138"/>
      <c r="AS8" s="138"/>
      <c r="AT8" s="138"/>
      <c r="AU8" s="138"/>
      <c r="AV8" s="137"/>
      <c r="AW8" s="138"/>
      <c r="AX8" s="245"/>
      <c r="AY8" s="140"/>
      <c r="BE8" s="5"/>
      <c r="BF8" s="5"/>
      <c r="BG8" s="5"/>
      <c r="BH8" s="5"/>
      <c r="BI8" s="5"/>
      <c r="BK8" s="32"/>
      <c r="BL8" s="33"/>
      <c r="BM8" s="33"/>
      <c r="BN8" s="33"/>
      <c r="BO8" s="33"/>
      <c r="BP8" s="32"/>
      <c r="BQ8" s="33"/>
      <c r="BR8" s="34"/>
      <c r="BS8" s="35"/>
      <c r="CE8" s="32"/>
      <c r="CF8" s="33"/>
      <c r="CG8" s="33"/>
      <c r="CH8" s="33"/>
      <c r="CI8" s="33"/>
      <c r="CJ8" s="32"/>
      <c r="CK8" s="33"/>
      <c r="CL8" s="34"/>
      <c r="CM8" s="35"/>
      <c r="CY8" s="32"/>
      <c r="CZ8" s="33"/>
      <c r="DA8" s="33"/>
      <c r="DB8" s="33"/>
      <c r="DC8" s="33"/>
      <c r="DD8" s="32"/>
      <c r="DE8" s="33"/>
      <c r="DF8" s="34"/>
      <c r="DG8" s="35"/>
      <c r="DS8" s="32"/>
      <c r="DT8" s="33"/>
      <c r="DU8" s="33"/>
      <c r="DV8" s="33"/>
      <c r="DW8" s="33"/>
      <c r="DX8" s="32"/>
      <c r="DY8" s="33"/>
      <c r="DZ8" s="34"/>
      <c r="EA8" s="35"/>
      <c r="EM8" s="32"/>
      <c r="EN8" s="33"/>
      <c r="EO8" s="33"/>
      <c r="EP8" s="33"/>
      <c r="EQ8" s="33"/>
      <c r="ER8" s="32"/>
      <c r="ES8" s="33"/>
      <c r="ET8" s="34"/>
      <c r="EU8" s="35"/>
      <c r="EW8" s="137"/>
      <c r="EX8" s="138"/>
      <c r="EY8" s="138"/>
      <c r="EZ8" s="138"/>
      <c r="FA8" s="138"/>
      <c r="FB8" s="137"/>
      <c r="FC8" s="138"/>
      <c r="FD8" s="245"/>
      <c r="FE8" s="140"/>
      <c r="FG8" s="137"/>
      <c r="FH8" s="138"/>
      <c r="FI8" s="138"/>
      <c r="FJ8" s="138"/>
      <c r="FK8" s="138"/>
      <c r="FL8" s="137"/>
      <c r="FM8" s="138"/>
      <c r="FN8" s="245"/>
      <c r="FO8" s="140"/>
      <c r="GA8" s="137"/>
      <c r="GB8" s="138"/>
      <c r="GC8" s="138"/>
      <c r="GD8" s="138"/>
      <c r="GE8" s="138"/>
      <c r="GF8" s="137"/>
      <c r="GG8" s="138"/>
      <c r="GH8" s="245"/>
      <c r="GI8" s="140"/>
      <c r="GU8" s="32"/>
      <c r="GV8" s="33"/>
      <c r="GW8" s="33"/>
      <c r="GX8" s="33"/>
      <c r="GY8" s="33"/>
      <c r="GZ8" s="32"/>
      <c r="HA8" s="33"/>
      <c r="HB8" s="34"/>
      <c r="HC8" s="35"/>
      <c r="HI8" s="5"/>
      <c r="HJ8" s="5"/>
      <c r="HK8" s="5"/>
      <c r="HL8" s="5"/>
      <c r="HM8" s="5"/>
      <c r="HO8" s="137"/>
      <c r="HP8" s="138"/>
      <c r="HQ8" s="138"/>
      <c r="HR8" s="138"/>
      <c r="HS8" s="138"/>
      <c r="HT8" s="137"/>
      <c r="HU8" s="138"/>
      <c r="HV8" s="245"/>
      <c r="HW8" s="140"/>
      <c r="IC8" s="5"/>
      <c r="ID8" s="5"/>
      <c r="IE8" s="5"/>
      <c r="IF8" s="5"/>
      <c r="IG8" s="5"/>
      <c r="II8" s="32"/>
      <c r="IJ8" s="33"/>
      <c r="IK8" s="33"/>
      <c r="IL8" s="33"/>
      <c r="IM8" s="33"/>
      <c r="IN8" s="32"/>
      <c r="IO8" s="33"/>
      <c r="IP8" s="34"/>
      <c r="IQ8" s="35"/>
      <c r="IW8" s="5"/>
      <c r="IX8" s="5"/>
      <c r="IY8" s="5"/>
      <c r="IZ8" s="5"/>
      <c r="JA8" s="5"/>
      <c r="JC8" s="137"/>
      <c r="JD8" s="138"/>
      <c r="JE8" s="138"/>
      <c r="JF8" s="138"/>
      <c r="JG8" s="138"/>
      <c r="JH8" s="137"/>
      <c r="JI8" s="138"/>
      <c r="JJ8" s="245"/>
      <c r="JK8" s="140"/>
      <c r="JQ8" s="5"/>
      <c r="JR8" s="5"/>
      <c r="JS8" s="5"/>
      <c r="JT8" s="5"/>
      <c r="JU8" s="5"/>
      <c r="JW8" s="137"/>
      <c r="JX8" s="138"/>
      <c r="JY8" s="138"/>
      <c r="JZ8" s="138"/>
      <c r="KA8" s="138"/>
      <c r="KB8" s="137"/>
      <c r="KC8" s="138"/>
      <c r="KD8" s="245"/>
      <c r="KE8" s="140"/>
      <c r="KK8" s="5"/>
      <c r="KL8" s="5"/>
      <c r="KM8" s="5"/>
      <c r="KN8" s="5"/>
      <c r="KO8" s="5"/>
      <c r="KQ8" s="137"/>
      <c r="KR8" s="138"/>
      <c r="KS8" s="138"/>
      <c r="KT8" s="138"/>
      <c r="KU8" s="138"/>
      <c r="KV8" s="137"/>
      <c r="KW8" s="138"/>
      <c r="KX8" s="245"/>
      <c r="KY8" s="140"/>
      <c r="LE8" s="5"/>
      <c r="LF8" s="5"/>
      <c r="LG8" s="5"/>
      <c r="LH8" s="5"/>
      <c r="LI8" s="5"/>
      <c r="LK8" s="137"/>
      <c r="LL8" s="138"/>
      <c r="LM8" s="138"/>
      <c r="LN8" s="138"/>
      <c r="LO8" s="138"/>
      <c r="LP8" s="137"/>
      <c r="LQ8" s="138"/>
      <c r="LR8" s="245"/>
      <c r="LS8" s="140"/>
      <c r="LY8" s="5"/>
      <c r="LZ8" s="5"/>
      <c r="MA8" s="5"/>
      <c r="MB8" s="5"/>
      <c r="MC8" s="5"/>
    </row>
    <row r="9" spans="2:341" ht="16" thickBot="1" x14ac:dyDescent="0.25">
      <c r="C9" s="246" t="s">
        <v>39</v>
      </c>
      <c r="D9" s="247"/>
      <c r="E9" s="248">
        <f>'HE3'!I14</f>
        <v>230</v>
      </c>
      <c r="F9" s="247" t="s">
        <v>7</v>
      </c>
      <c r="G9" s="247"/>
      <c r="H9" s="246" t="s">
        <v>40</v>
      </c>
      <c r="I9" s="247"/>
      <c r="J9" s="249">
        <f>J4*E48+J5*J48+J6*O48+J7*T48</f>
        <v>2354.1596667334566</v>
      </c>
      <c r="K9" s="250" t="s">
        <v>0</v>
      </c>
      <c r="Q9" s="5"/>
      <c r="R9" s="5"/>
      <c r="S9" s="5"/>
      <c r="T9" s="5"/>
      <c r="U9" s="5"/>
      <c r="V9" s="5"/>
      <c r="W9" s="36" t="s">
        <v>39</v>
      </c>
      <c r="X9" s="37"/>
      <c r="Y9" s="202">
        <f>('HE3'!E20+'HE3'!E23)/2</f>
        <v>224.50317891786386</v>
      </c>
      <c r="Z9" s="37" t="s">
        <v>7</v>
      </c>
      <c r="AA9" s="37"/>
      <c r="AB9" s="36" t="s">
        <v>40</v>
      </c>
      <c r="AC9" s="37"/>
      <c r="AD9" s="38">
        <f>AD4*Y48+AD5*AD48+AD6*AI48+AD7*AN48</f>
        <v>3069.591072351182</v>
      </c>
      <c r="AE9" s="39" t="s">
        <v>0</v>
      </c>
      <c r="AQ9" s="246" t="s">
        <v>39</v>
      </c>
      <c r="AR9" s="247"/>
      <c r="AS9" s="248">
        <f>'CON2'!I14</f>
        <v>207.38354609265951</v>
      </c>
      <c r="AT9" s="247" t="s">
        <v>7</v>
      </c>
      <c r="AU9" s="247"/>
      <c r="AV9" s="246" t="s">
        <v>40</v>
      </c>
      <c r="AW9" s="247"/>
      <c r="AX9" s="249">
        <f>AX4*AS48+AX5*AX48+AX6*BC48+AX7*BH48</f>
        <v>2322.5134808455318</v>
      </c>
      <c r="AY9" s="250" t="s">
        <v>0</v>
      </c>
      <c r="BE9" s="5"/>
      <c r="BF9" s="5"/>
      <c r="BG9" s="5"/>
      <c r="BH9" s="5"/>
      <c r="BI9" s="5"/>
      <c r="BK9" s="36" t="s">
        <v>39</v>
      </c>
      <c r="BL9" s="37"/>
      <c r="BM9" s="202">
        <f>'HE3'!E20</f>
        <v>219.0063578357277</v>
      </c>
      <c r="BN9" s="37" t="s">
        <v>7</v>
      </c>
      <c r="BO9" s="37"/>
      <c r="BP9" s="36" t="s">
        <v>40</v>
      </c>
      <c r="BQ9" s="37"/>
      <c r="BR9" s="38">
        <f>BR4*BM48+BR5*BR48+BR6*BW48+BR7*CB48</f>
        <v>3066.0844046820548</v>
      </c>
      <c r="BS9" s="39" t="s">
        <v>0</v>
      </c>
      <c r="CE9" s="36" t="s">
        <v>39</v>
      </c>
      <c r="CF9" s="37"/>
      <c r="CG9" s="202">
        <f>'HE2'!E14</f>
        <v>169.34751234418246</v>
      </c>
      <c r="CH9" s="37" t="s">
        <v>7</v>
      </c>
      <c r="CI9" s="37"/>
      <c r="CJ9" s="36" t="s">
        <v>40</v>
      </c>
      <c r="CK9" s="37"/>
      <c r="CL9" s="38">
        <f>CL4*CG48+CL5*CL48+CL6*CQ48+CL7*CV48</f>
        <v>2072.9763284446599</v>
      </c>
      <c r="CM9" s="39" t="s">
        <v>0</v>
      </c>
      <c r="CY9" s="36" t="s">
        <v>39</v>
      </c>
      <c r="CZ9" s="37"/>
      <c r="DA9" s="202">
        <f>('HE2'!E23+'HE2'!E20)/2</f>
        <v>703.68425452863005</v>
      </c>
      <c r="DB9" s="37" t="s">
        <v>7</v>
      </c>
      <c r="DC9" s="37"/>
      <c r="DD9" s="36" t="s">
        <v>40</v>
      </c>
      <c r="DE9" s="37"/>
      <c r="DF9" s="38">
        <f>DF4*DA48+DF5*DF48+DF6*DK48+DF7*DP48</f>
        <v>2423.1751105919043</v>
      </c>
      <c r="DG9" s="39" t="s">
        <v>0</v>
      </c>
      <c r="DS9" s="36" t="s">
        <v>39</v>
      </c>
      <c r="DT9" s="37"/>
      <c r="DU9" s="202">
        <f>'HE3'!E14</f>
        <v>201.72943261582441</v>
      </c>
      <c r="DV9" s="37" t="s">
        <v>7</v>
      </c>
      <c r="DW9" s="37"/>
      <c r="DX9" s="36" t="s">
        <v>40</v>
      </c>
      <c r="DY9" s="37"/>
      <c r="DZ9" s="38">
        <f>DZ4*DU48+DZ5*DZ48+DZ6*EE48+DZ7*EJ48</f>
        <v>3055.0626824565584</v>
      </c>
      <c r="EA9" s="39" t="s">
        <v>0</v>
      </c>
      <c r="EM9" s="36" t="s">
        <v>39</v>
      </c>
      <c r="EN9" s="37"/>
      <c r="EO9" s="202">
        <f>'HE6'!E14</f>
        <v>22</v>
      </c>
      <c r="EP9" s="37" t="s">
        <v>7</v>
      </c>
      <c r="EQ9" s="37"/>
      <c r="ER9" s="36" t="s">
        <v>40</v>
      </c>
      <c r="ES9" s="37"/>
      <c r="ET9" s="38">
        <f>EO48</f>
        <v>840.6</v>
      </c>
      <c r="EU9" s="39" t="s">
        <v>0</v>
      </c>
      <c r="EW9" s="246" t="s">
        <v>39</v>
      </c>
      <c r="EX9" s="247"/>
      <c r="EY9" s="345">
        <f>'V2'!C9</f>
        <v>79.733365145378514</v>
      </c>
      <c r="EZ9" s="247" t="s">
        <v>7</v>
      </c>
      <c r="FA9" s="247"/>
      <c r="FB9" s="246" t="s">
        <v>40</v>
      </c>
      <c r="FC9" s="247"/>
      <c r="FD9" s="249">
        <f>EY48</f>
        <v>897.51469593374827</v>
      </c>
      <c r="FE9" s="250" t="s">
        <v>0</v>
      </c>
      <c r="FG9" s="246" t="s">
        <v>39</v>
      </c>
      <c r="FH9" s="247"/>
      <c r="FI9" s="345">
        <f>'V1'!G9</f>
        <v>147.39889791965879</v>
      </c>
      <c r="FJ9" s="247" t="s">
        <v>7</v>
      </c>
      <c r="FK9" s="247"/>
      <c r="FL9" s="246" t="s">
        <v>40</v>
      </c>
      <c r="FM9" s="247"/>
      <c r="FN9" s="249">
        <f>FN4*FI48+FN5*FN48+FN6*FS48+FN7*FX48</f>
        <v>6140.5319519456762</v>
      </c>
      <c r="FO9" s="250" t="s">
        <v>0</v>
      </c>
      <c r="GA9" s="246" t="s">
        <v>39</v>
      </c>
      <c r="GB9" s="247"/>
      <c r="GC9" s="345">
        <f>'V2'!G7</f>
        <v>58.241497101406814</v>
      </c>
      <c r="GD9" s="247" t="s">
        <v>7</v>
      </c>
      <c r="GE9" s="247"/>
      <c r="GF9" s="246" t="s">
        <v>40</v>
      </c>
      <c r="GG9" s="247"/>
      <c r="GH9" s="249">
        <f>GH4*GC48+GH5*GH48+GH6*GM48+GH7*GR48</f>
        <v>12764.026132509782</v>
      </c>
      <c r="GI9" s="250" t="s">
        <v>0</v>
      </c>
      <c r="GU9" s="36" t="s">
        <v>39</v>
      </c>
      <c r="GV9" s="37"/>
      <c r="GW9" s="516">
        <f>'HE5'!E14</f>
        <v>108.35024430210245</v>
      </c>
      <c r="GX9" s="37" t="s">
        <v>7</v>
      </c>
      <c r="GY9" s="37"/>
      <c r="GZ9" s="36" t="s">
        <v>40</v>
      </c>
      <c r="HA9" s="37"/>
      <c r="HB9" s="38">
        <f>HB4*GW48+HB5*HB48+HB6*HG48+HB7*HL48</f>
        <v>2608.0797419654891</v>
      </c>
      <c r="HC9" s="39" t="s">
        <v>0</v>
      </c>
      <c r="HI9" s="5"/>
      <c r="HJ9" s="5"/>
      <c r="HK9" s="5"/>
      <c r="HL9" s="5"/>
      <c r="HM9" s="5"/>
      <c r="HO9" s="246" t="s">
        <v>39</v>
      </c>
      <c r="HP9" s="247"/>
      <c r="HQ9" s="248">
        <f>'HE5'!I14</f>
        <v>267.93292412887394</v>
      </c>
      <c r="HR9" s="247" t="s">
        <v>7</v>
      </c>
      <c r="HS9" s="247"/>
      <c r="HT9" s="246" t="s">
        <v>40</v>
      </c>
      <c r="HU9" s="247"/>
      <c r="HV9" s="249">
        <f>HV4*HQ48+HV5*HV48+HV6*IA48+HV7*IF48</f>
        <v>2751.1919435018867</v>
      </c>
      <c r="HW9" s="250" t="s">
        <v>0</v>
      </c>
      <c r="IC9" s="5"/>
      <c r="ID9" s="5"/>
      <c r="IE9" s="5"/>
      <c r="IF9" s="5"/>
      <c r="IG9" s="5"/>
      <c r="II9" s="36" t="s">
        <v>39</v>
      </c>
      <c r="IJ9" s="37"/>
      <c r="IK9" s="516">
        <f>'HE5'!G22</f>
        <v>236.01638816351965</v>
      </c>
      <c r="IL9" s="37" t="s">
        <v>7</v>
      </c>
      <c r="IM9" s="37"/>
      <c r="IN9" s="36" t="s">
        <v>40</v>
      </c>
      <c r="IO9" s="37"/>
      <c r="IP9" s="38">
        <f>IP4*IK48+IP5*IP48+IP6*IU48+IP7*IZ48</f>
        <v>2928.7936144746709</v>
      </c>
      <c r="IQ9" s="39" t="s">
        <v>0</v>
      </c>
      <c r="IW9" s="5"/>
      <c r="IX9" s="5"/>
      <c r="IY9" s="5"/>
      <c r="IZ9" s="5"/>
      <c r="JA9" s="5"/>
      <c r="JC9" s="246" t="s">
        <v>39</v>
      </c>
      <c r="JD9" s="247"/>
      <c r="JE9" s="248">
        <f>'CON3'!I14</f>
        <v>113.16915092315458</v>
      </c>
      <c r="JF9" s="247" t="s">
        <v>7</v>
      </c>
      <c r="JG9" s="247"/>
      <c r="JH9" s="246" t="s">
        <v>40</v>
      </c>
      <c r="JI9" s="247"/>
      <c r="JJ9" s="249">
        <f>JJ4*JE48+JJ5*JJ48+JJ6*JO48+JJ7*JT48</f>
        <v>2257.2370789793849</v>
      </c>
      <c r="JK9" s="250" t="s">
        <v>0</v>
      </c>
      <c r="JQ9" s="5"/>
      <c r="JR9" s="5"/>
      <c r="JS9" s="5"/>
      <c r="JT9" s="5"/>
      <c r="JU9" s="5"/>
      <c r="JW9" s="246" t="s">
        <v>39</v>
      </c>
      <c r="JX9" s="247"/>
      <c r="JY9" s="248">
        <f>'CON4'!I14</f>
        <v>147.394793844221</v>
      </c>
      <c r="JZ9" s="247" t="s">
        <v>7</v>
      </c>
      <c r="KA9" s="247"/>
      <c r="KB9" s="246" t="s">
        <v>40</v>
      </c>
      <c r="KC9" s="247"/>
      <c r="KD9" s="249">
        <f>KD4*JY48+KD5*KD48+KD6*KI48+KD7*KN48</f>
        <v>2410.6275995029237</v>
      </c>
      <c r="KE9" s="250" t="s">
        <v>0</v>
      </c>
      <c r="KK9" s="5"/>
      <c r="KL9" s="5"/>
      <c r="KM9" s="5"/>
      <c r="KN9" s="5"/>
      <c r="KO9" s="5"/>
      <c r="KQ9" s="246" t="s">
        <v>39</v>
      </c>
      <c r="KR9" s="247"/>
      <c r="KS9" s="248">
        <f>'HE6'!I14</f>
        <v>443</v>
      </c>
      <c r="KT9" s="247" t="s">
        <v>7</v>
      </c>
      <c r="KU9" s="247"/>
      <c r="KV9" s="246" t="s">
        <v>40</v>
      </c>
      <c r="KW9" s="247"/>
      <c r="KX9" s="249">
        <f>KX4*KS48+KX5*KX48+KX6*LC48+KX7*LH48</f>
        <v>3228.4674890134279</v>
      </c>
      <c r="KY9" s="250" t="s">
        <v>0</v>
      </c>
      <c r="LE9" s="5"/>
      <c r="LF9" s="5"/>
      <c r="LG9" s="5"/>
      <c r="LH9" s="5"/>
      <c r="LI9" s="5"/>
      <c r="LK9" s="246" t="s">
        <v>39</v>
      </c>
      <c r="LL9" s="247"/>
      <c r="LM9" s="248" t="e">
        <f>#REF!</f>
        <v>#REF!</v>
      </c>
      <c r="LN9" s="247" t="s">
        <v>7</v>
      </c>
      <c r="LO9" s="247"/>
      <c r="LP9" s="246" t="s">
        <v>40</v>
      </c>
      <c r="LQ9" s="247"/>
      <c r="LR9" s="249" t="e">
        <f>LR4*LM48+LR5*LR48+LR6*LW48+LR7*MB48</f>
        <v>#REF!</v>
      </c>
      <c r="LS9" s="250" t="s">
        <v>0</v>
      </c>
      <c r="LY9" s="5"/>
      <c r="LZ9" s="5"/>
      <c r="MA9" s="5"/>
      <c r="MB9" s="5"/>
      <c r="MC9" s="5"/>
    </row>
    <row r="10" spans="2:341" ht="16" thickBot="1" x14ac:dyDescent="0.25">
      <c r="Q10" s="5"/>
      <c r="R10" s="5"/>
      <c r="S10" s="5"/>
      <c r="T10" s="5"/>
      <c r="U10" s="5"/>
      <c r="V10" s="5"/>
      <c r="BE10" s="5"/>
      <c r="BF10" s="5"/>
      <c r="BG10" s="5"/>
      <c r="BH10" s="5"/>
      <c r="BI10" s="5"/>
      <c r="HI10" s="5"/>
      <c r="HJ10" s="5"/>
      <c r="HK10" s="5"/>
      <c r="HL10" s="5"/>
      <c r="HM10" s="5"/>
      <c r="IC10" s="5"/>
      <c r="ID10" s="5"/>
      <c r="IE10" s="5"/>
      <c r="IF10" s="5"/>
      <c r="IG10" s="5"/>
      <c r="IW10" s="5"/>
      <c r="IX10" s="5"/>
      <c r="IY10" s="5"/>
      <c r="IZ10" s="5"/>
      <c r="JA10" s="5"/>
      <c r="JQ10" s="5"/>
      <c r="JR10" s="5"/>
      <c r="JS10" s="5"/>
      <c r="JT10" s="5"/>
      <c r="JU10" s="5"/>
      <c r="KK10" s="5"/>
      <c r="KL10" s="5"/>
      <c r="KM10" s="5"/>
      <c r="KN10" s="5"/>
      <c r="KO10" s="5"/>
      <c r="LE10" s="5"/>
      <c r="LF10" s="5"/>
      <c r="LG10" s="5"/>
      <c r="LH10" s="5"/>
      <c r="LI10" s="5"/>
      <c r="LY10" s="5"/>
      <c r="LZ10" s="5"/>
      <c r="MA10" s="5"/>
      <c r="MB10" s="5"/>
      <c r="MC10" s="5"/>
    </row>
    <row r="11" spans="2:341" x14ac:dyDescent="0.2">
      <c r="C11" s="13" t="s">
        <v>79</v>
      </c>
      <c r="D11" s="14"/>
      <c r="E11" s="14">
        <f>E9</f>
        <v>230</v>
      </c>
      <c r="F11" s="15" t="s">
        <v>7</v>
      </c>
      <c r="H11" s="13" t="s">
        <v>81</v>
      </c>
      <c r="I11" s="14"/>
      <c r="J11" s="14">
        <f>E9</f>
        <v>230</v>
      </c>
      <c r="K11" s="15" t="s">
        <v>7</v>
      </c>
      <c r="M11" s="13" t="s">
        <v>107</v>
      </c>
      <c r="N11" s="14"/>
      <c r="O11" s="14">
        <f>E9</f>
        <v>230</v>
      </c>
      <c r="P11" s="15" t="s">
        <v>7</v>
      </c>
      <c r="Q11" s="5"/>
      <c r="R11" s="13" t="s">
        <v>109</v>
      </c>
      <c r="S11" s="14"/>
      <c r="T11" s="240">
        <f>E9</f>
        <v>230</v>
      </c>
      <c r="U11" s="15" t="s">
        <v>7</v>
      </c>
      <c r="V11" s="5"/>
      <c r="W11" s="13" t="s">
        <v>79</v>
      </c>
      <c r="X11" s="14"/>
      <c r="Y11" s="277">
        <f>Y9</f>
        <v>224.50317891786386</v>
      </c>
      <c r="Z11" s="15" t="s">
        <v>7</v>
      </c>
      <c r="AB11" s="13" t="s">
        <v>81</v>
      </c>
      <c r="AC11" s="14"/>
      <c r="AD11" s="277">
        <f>Y9</f>
        <v>224.50317891786386</v>
      </c>
      <c r="AE11" s="15" t="s">
        <v>7</v>
      </c>
      <c r="AG11" s="13" t="s">
        <v>107</v>
      </c>
      <c r="AH11" s="14"/>
      <c r="AI11" s="277">
        <f>Y9</f>
        <v>224.50317891786386</v>
      </c>
      <c r="AJ11" s="15" t="s">
        <v>7</v>
      </c>
      <c r="AK11" s="5"/>
      <c r="AL11" s="13" t="s">
        <v>285</v>
      </c>
      <c r="AM11" s="14"/>
      <c r="AN11" s="277">
        <f>Y9</f>
        <v>224.50317891786386</v>
      </c>
      <c r="AO11" s="15" t="s">
        <v>7</v>
      </c>
      <c r="AQ11" s="13" t="s">
        <v>79</v>
      </c>
      <c r="AR11" s="14"/>
      <c r="AS11" s="14">
        <f>AS9</f>
        <v>207.38354609265951</v>
      </c>
      <c r="AT11" s="15" t="s">
        <v>7</v>
      </c>
      <c r="AV11" s="13" t="s">
        <v>81</v>
      </c>
      <c r="AW11" s="14"/>
      <c r="AX11" s="14">
        <f>AS9</f>
        <v>207.38354609265951</v>
      </c>
      <c r="AY11" s="15" t="s">
        <v>7</v>
      </c>
      <c r="BA11" s="13" t="s">
        <v>107</v>
      </c>
      <c r="BB11" s="14"/>
      <c r="BC11" s="14">
        <f>AS9</f>
        <v>207.38354609265951</v>
      </c>
      <c r="BD11" s="15" t="s">
        <v>7</v>
      </c>
      <c r="BE11" s="5"/>
      <c r="BF11" s="13" t="s">
        <v>109</v>
      </c>
      <c r="BG11" s="14"/>
      <c r="BH11" s="240">
        <f>AS9</f>
        <v>207.38354609265951</v>
      </c>
      <c r="BI11" s="15" t="s">
        <v>7</v>
      </c>
      <c r="BK11" s="13" t="s">
        <v>79</v>
      </c>
      <c r="BL11" s="14"/>
      <c r="BM11" s="277">
        <f>BM9</f>
        <v>219.0063578357277</v>
      </c>
      <c r="BN11" s="15" t="s">
        <v>7</v>
      </c>
      <c r="BP11" s="13" t="s">
        <v>81</v>
      </c>
      <c r="BQ11" s="14"/>
      <c r="BR11" s="277">
        <f>BM9</f>
        <v>219.0063578357277</v>
      </c>
      <c r="BS11" s="15" t="s">
        <v>7</v>
      </c>
      <c r="BU11" s="13" t="s">
        <v>107</v>
      </c>
      <c r="BV11" s="14"/>
      <c r="BW11" s="277">
        <f>BM9</f>
        <v>219.0063578357277</v>
      </c>
      <c r="BX11" s="15" t="s">
        <v>7</v>
      </c>
      <c r="BY11" s="5"/>
      <c r="BZ11" s="13" t="s">
        <v>285</v>
      </c>
      <c r="CA11" s="14"/>
      <c r="CB11" s="277">
        <f>BM9</f>
        <v>219.0063578357277</v>
      </c>
      <c r="CC11" s="15" t="s">
        <v>7</v>
      </c>
      <c r="CE11" s="13" t="s">
        <v>79</v>
      </c>
      <c r="CF11" s="14"/>
      <c r="CG11" s="277">
        <f>CG9</f>
        <v>169.34751234418246</v>
      </c>
      <c r="CH11" s="15" t="s">
        <v>7</v>
      </c>
      <c r="CJ11" s="13" t="s">
        <v>81</v>
      </c>
      <c r="CK11" s="14"/>
      <c r="CL11" s="277">
        <f>CG9</f>
        <v>169.34751234418246</v>
      </c>
      <c r="CM11" s="15" t="s">
        <v>7</v>
      </c>
      <c r="CO11" s="13" t="s">
        <v>107</v>
      </c>
      <c r="CP11" s="14"/>
      <c r="CQ11" s="277">
        <f>CG9</f>
        <v>169.34751234418246</v>
      </c>
      <c r="CR11" s="15" t="s">
        <v>7</v>
      </c>
      <c r="CT11" s="13" t="s">
        <v>285</v>
      </c>
      <c r="CU11" s="14"/>
      <c r="CV11" s="277">
        <f>CG9</f>
        <v>169.34751234418246</v>
      </c>
      <c r="CW11" s="15" t="s">
        <v>7</v>
      </c>
      <c r="CY11" s="13" t="s">
        <v>79</v>
      </c>
      <c r="CZ11" s="14"/>
      <c r="DA11" s="277">
        <f>DA9</f>
        <v>703.68425452863005</v>
      </c>
      <c r="DB11" s="15" t="s">
        <v>7</v>
      </c>
      <c r="DD11" s="13" t="s">
        <v>81</v>
      </c>
      <c r="DE11" s="14"/>
      <c r="DF11" s="277">
        <f>DA9</f>
        <v>703.68425452863005</v>
      </c>
      <c r="DG11" s="15" t="s">
        <v>7</v>
      </c>
      <c r="DI11" s="13" t="s">
        <v>107</v>
      </c>
      <c r="DJ11" s="14"/>
      <c r="DK11" s="277">
        <f>DA9</f>
        <v>703.68425452863005</v>
      </c>
      <c r="DL11" s="15" t="s">
        <v>7</v>
      </c>
      <c r="DN11" s="13" t="s">
        <v>285</v>
      </c>
      <c r="DO11" s="14"/>
      <c r="DP11" s="277">
        <f>DA9</f>
        <v>703.68425452863005</v>
      </c>
      <c r="DQ11" s="15" t="s">
        <v>7</v>
      </c>
      <c r="DS11" s="13" t="s">
        <v>79</v>
      </c>
      <c r="DT11" s="14"/>
      <c r="DU11" s="277">
        <f>DU9</f>
        <v>201.72943261582441</v>
      </c>
      <c r="DV11" s="15" t="s">
        <v>7</v>
      </c>
      <c r="DX11" s="13" t="s">
        <v>81</v>
      </c>
      <c r="DY11" s="14"/>
      <c r="DZ11" s="277">
        <f>DU9</f>
        <v>201.72943261582441</v>
      </c>
      <c r="EA11" s="15" t="s">
        <v>7</v>
      </c>
      <c r="EC11" s="13" t="s">
        <v>107</v>
      </c>
      <c r="ED11" s="14"/>
      <c r="EE11" s="277">
        <f>DU9</f>
        <v>201.72943261582441</v>
      </c>
      <c r="EF11" s="15" t="s">
        <v>7</v>
      </c>
      <c r="EH11" s="13" t="s">
        <v>285</v>
      </c>
      <c r="EI11" s="14"/>
      <c r="EJ11" s="277">
        <f>DU9</f>
        <v>201.72943261582441</v>
      </c>
      <c r="EK11" s="15" t="s">
        <v>7</v>
      </c>
      <c r="EM11" s="13" t="s">
        <v>107</v>
      </c>
      <c r="EN11" s="14"/>
      <c r="EO11" s="277">
        <f>EO9</f>
        <v>22</v>
      </c>
      <c r="EP11" s="15" t="s">
        <v>7</v>
      </c>
      <c r="ER11" s="5"/>
      <c r="ES11" s="5"/>
      <c r="ET11" s="168"/>
      <c r="EU11" s="5"/>
      <c r="EW11" s="13" t="s">
        <v>107</v>
      </c>
      <c r="EX11" s="14"/>
      <c r="EY11" s="277">
        <f>EY9</f>
        <v>79.733365145378514</v>
      </c>
      <c r="EZ11" s="15" t="s">
        <v>7</v>
      </c>
      <c r="FB11" s="5"/>
      <c r="FC11" s="5"/>
      <c r="FD11" s="168"/>
      <c r="FE11" s="5"/>
      <c r="FG11" s="13" t="s">
        <v>79</v>
      </c>
      <c r="FH11" s="14"/>
      <c r="FI11" s="277">
        <f>FI9</f>
        <v>147.39889791965879</v>
      </c>
      <c r="FJ11" s="15" t="s">
        <v>7</v>
      </c>
      <c r="FL11" s="13" t="s">
        <v>81</v>
      </c>
      <c r="FM11" s="14"/>
      <c r="FN11" s="277">
        <f>FI9</f>
        <v>147.39889791965879</v>
      </c>
      <c r="FO11" s="15" t="s">
        <v>7</v>
      </c>
      <c r="FQ11" s="13" t="s">
        <v>107</v>
      </c>
      <c r="FR11" s="14"/>
      <c r="FS11" s="277">
        <f>FI9</f>
        <v>147.39889791965879</v>
      </c>
      <c r="FT11" s="15" t="s">
        <v>7</v>
      </c>
      <c r="FV11" s="13" t="s">
        <v>285</v>
      </c>
      <c r="FW11" s="14"/>
      <c r="FX11" s="277">
        <f>FI9</f>
        <v>147.39889791965879</v>
      </c>
      <c r="FY11" s="15" t="s">
        <v>7</v>
      </c>
      <c r="GA11" s="13" t="s">
        <v>79</v>
      </c>
      <c r="GB11" s="14"/>
      <c r="GC11" s="277">
        <f>GC9</f>
        <v>58.241497101406814</v>
      </c>
      <c r="GD11" s="15" t="s">
        <v>7</v>
      </c>
      <c r="GF11" s="13" t="s">
        <v>81</v>
      </c>
      <c r="GG11" s="14"/>
      <c r="GH11" s="277">
        <f>GC9</f>
        <v>58.241497101406814</v>
      </c>
      <c r="GI11" s="15" t="s">
        <v>7</v>
      </c>
      <c r="GK11" s="13" t="s">
        <v>107</v>
      </c>
      <c r="GL11" s="14"/>
      <c r="GM11" s="277">
        <f>GC9</f>
        <v>58.241497101406814</v>
      </c>
      <c r="GN11" s="15" t="s">
        <v>7</v>
      </c>
      <c r="GP11" s="13" t="s">
        <v>285</v>
      </c>
      <c r="GQ11" s="14"/>
      <c r="GR11" s="277">
        <f>GC9</f>
        <v>58.241497101406814</v>
      </c>
      <c r="GS11" s="15" t="s">
        <v>7</v>
      </c>
      <c r="GU11" s="13" t="s">
        <v>79</v>
      </c>
      <c r="GV11" s="14"/>
      <c r="GW11" s="14">
        <f>GW9</f>
        <v>108.35024430210245</v>
      </c>
      <c r="GX11" s="15" t="s">
        <v>7</v>
      </c>
      <c r="GZ11" s="13" t="s">
        <v>81</v>
      </c>
      <c r="HA11" s="14"/>
      <c r="HB11" s="14">
        <f>GW9</f>
        <v>108.35024430210245</v>
      </c>
      <c r="HC11" s="15" t="s">
        <v>7</v>
      </c>
      <c r="HE11" s="13" t="s">
        <v>107</v>
      </c>
      <c r="HF11" s="14"/>
      <c r="HG11" s="14">
        <f>GW9</f>
        <v>108.35024430210245</v>
      </c>
      <c r="HH11" s="15" t="s">
        <v>7</v>
      </c>
      <c r="HI11" s="5"/>
      <c r="HJ11" s="13" t="s">
        <v>109</v>
      </c>
      <c r="HK11" s="14"/>
      <c r="HL11" s="240">
        <f>GW9</f>
        <v>108.35024430210245</v>
      </c>
      <c r="HM11" s="15" t="s">
        <v>7</v>
      </c>
      <c r="HO11" s="13" t="s">
        <v>79</v>
      </c>
      <c r="HP11" s="14"/>
      <c r="HQ11" s="14">
        <f>HQ9</f>
        <v>267.93292412887394</v>
      </c>
      <c r="HR11" s="15" t="s">
        <v>7</v>
      </c>
      <c r="HT11" s="13" t="s">
        <v>81</v>
      </c>
      <c r="HU11" s="14"/>
      <c r="HV11" s="14">
        <f>HQ9</f>
        <v>267.93292412887394</v>
      </c>
      <c r="HW11" s="15" t="s">
        <v>7</v>
      </c>
      <c r="HY11" s="13" t="s">
        <v>107</v>
      </c>
      <c r="HZ11" s="14"/>
      <c r="IA11" s="14">
        <f>HQ9</f>
        <v>267.93292412887394</v>
      </c>
      <c r="IB11" s="15" t="s">
        <v>7</v>
      </c>
      <c r="IC11" s="5"/>
      <c r="ID11" s="13" t="s">
        <v>109</v>
      </c>
      <c r="IE11" s="14"/>
      <c r="IF11" s="240">
        <f>HQ9</f>
        <v>267.93292412887394</v>
      </c>
      <c r="IG11" s="15" t="s">
        <v>7</v>
      </c>
      <c r="II11" s="13" t="s">
        <v>79</v>
      </c>
      <c r="IJ11" s="14"/>
      <c r="IK11" s="14">
        <f>IK9</f>
        <v>236.01638816351965</v>
      </c>
      <c r="IL11" s="15" t="s">
        <v>7</v>
      </c>
      <c r="IN11" s="13" t="s">
        <v>81</v>
      </c>
      <c r="IO11" s="14"/>
      <c r="IP11" s="14">
        <f>IK9</f>
        <v>236.01638816351965</v>
      </c>
      <c r="IQ11" s="15" t="s">
        <v>7</v>
      </c>
      <c r="IS11" s="13" t="s">
        <v>107</v>
      </c>
      <c r="IT11" s="14"/>
      <c r="IU11" s="14">
        <f>IK9</f>
        <v>236.01638816351965</v>
      </c>
      <c r="IV11" s="15" t="s">
        <v>7</v>
      </c>
      <c r="IW11" s="5"/>
      <c r="IX11" s="13" t="s">
        <v>109</v>
      </c>
      <c r="IY11" s="14"/>
      <c r="IZ11" s="240">
        <f>IK9</f>
        <v>236.01638816351965</v>
      </c>
      <c r="JA11" s="15" t="s">
        <v>7</v>
      </c>
      <c r="JC11" s="13" t="s">
        <v>79</v>
      </c>
      <c r="JD11" s="14"/>
      <c r="JE11" s="14">
        <f>JE9</f>
        <v>113.16915092315458</v>
      </c>
      <c r="JF11" s="15" t="s">
        <v>7</v>
      </c>
      <c r="JH11" s="13" t="s">
        <v>81</v>
      </c>
      <c r="JI11" s="14"/>
      <c r="JJ11" s="14">
        <f>JE9</f>
        <v>113.16915092315458</v>
      </c>
      <c r="JK11" s="15" t="s">
        <v>7</v>
      </c>
      <c r="JM11" s="13" t="s">
        <v>107</v>
      </c>
      <c r="JN11" s="14"/>
      <c r="JO11" s="14">
        <f>JE9</f>
        <v>113.16915092315458</v>
      </c>
      <c r="JP11" s="15" t="s">
        <v>7</v>
      </c>
      <c r="JQ11" s="5"/>
      <c r="JR11" s="13" t="s">
        <v>109</v>
      </c>
      <c r="JS11" s="14"/>
      <c r="JT11" s="240">
        <f>JE9</f>
        <v>113.16915092315458</v>
      </c>
      <c r="JU11" s="15" t="s">
        <v>7</v>
      </c>
      <c r="JW11" s="13" t="s">
        <v>79</v>
      </c>
      <c r="JX11" s="14"/>
      <c r="JY11" s="14">
        <f>JY9</f>
        <v>147.394793844221</v>
      </c>
      <c r="JZ11" s="15" t="s">
        <v>7</v>
      </c>
      <c r="KB11" s="13" t="s">
        <v>81</v>
      </c>
      <c r="KC11" s="14"/>
      <c r="KD11" s="14">
        <f>JY9</f>
        <v>147.394793844221</v>
      </c>
      <c r="KE11" s="15" t="s">
        <v>7</v>
      </c>
      <c r="KG11" s="13" t="s">
        <v>107</v>
      </c>
      <c r="KH11" s="14"/>
      <c r="KI11" s="14">
        <f>JY9</f>
        <v>147.394793844221</v>
      </c>
      <c r="KJ11" s="15" t="s">
        <v>7</v>
      </c>
      <c r="KK11" s="5"/>
      <c r="KL11" s="13" t="s">
        <v>109</v>
      </c>
      <c r="KM11" s="14"/>
      <c r="KN11" s="240">
        <f>JY9</f>
        <v>147.394793844221</v>
      </c>
      <c r="KO11" s="15" t="s">
        <v>7</v>
      </c>
      <c r="KQ11" s="13" t="s">
        <v>79</v>
      </c>
      <c r="KR11" s="14"/>
      <c r="KS11" s="14">
        <f>KS9</f>
        <v>443</v>
      </c>
      <c r="KT11" s="15" t="s">
        <v>7</v>
      </c>
      <c r="KV11" s="13" t="s">
        <v>81</v>
      </c>
      <c r="KW11" s="14"/>
      <c r="KX11" s="14">
        <f>KS9</f>
        <v>443</v>
      </c>
      <c r="KY11" s="15" t="s">
        <v>7</v>
      </c>
      <c r="LA11" s="13" t="s">
        <v>107</v>
      </c>
      <c r="LB11" s="14"/>
      <c r="LC11" s="14">
        <f>KS9</f>
        <v>443</v>
      </c>
      <c r="LD11" s="15" t="s">
        <v>7</v>
      </c>
      <c r="LE11" s="5"/>
      <c r="LF11" s="13" t="s">
        <v>109</v>
      </c>
      <c r="LG11" s="14"/>
      <c r="LH11" s="240">
        <f>KS9</f>
        <v>443</v>
      </c>
      <c r="LI11" s="15" t="s">
        <v>7</v>
      </c>
      <c r="LK11" s="13" t="s">
        <v>79</v>
      </c>
      <c r="LL11" s="14"/>
      <c r="LM11" s="14" t="e">
        <f>LM9</f>
        <v>#REF!</v>
      </c>
      <c r="LN11" s="15" t="s">
        <v>7</v>
      </c>
      <c r="LP11" s="13" t="s">
        <v>81</v>
      </c>
      <c r="LQ11" s="14"/>
      <c r="LR11" s="14" t="e">
        <f>LM9</f>
        <v>#REF!</v>
      </c>
      <c r="LS11" s="15" t="s">
        <v>7</v>
      </c>
      <c r="LU11" s="13" t="s">
        <v>107</v>
      </c>
      <c r="LV11" s="14"/>
      <c r="LW11" s="14" t="e">
        <f>LM9</f>
        <v>#REF!</v>
      </c>
      <c r="LX11" s="15" t="s">
        <v>7</v>
      </c>
      <c r="LY11" s="5"/>
      <c r="LZ11" s="13" t="s">
        <v>109</v>
      </c>
      <c r="MA11" s="14"/>
      <c r="MB11" s="240" t="e">
        <f>LM9</f>
        <v>#REF!</v>
      </c>
      <c r="MC11" s="15" t="s">
        <v>7</v>
      </c>
    </row>
    <row r="12" spans="2:341" ht="16" thickBot="1" x14ac:dyDescent="0.25">
      <c r="C12" s="22"/>
      <c r="D12" s="23"/>
      <c r="E12" s="23">
        <f>E11+273</f>
        <v>503</v>
      </c>
      <c r="F12" s="21" t="s">
        <v>33</v>
      </c>
      <c r="H12" s="22"/>
      <c r="I12" s="23"/>
      <c r="J12" s="23">
        <f>J11+273</f>
        <v>503</v>
      </c>
      <c r="K12" s="21" t="s">
        <v>33</v>
      </c>
      <c r="M12" s="22"/>
      <c r="N12" s="23"/>
      <c r="O12" s="23">
        <f>O11+273</f>
        <v>503</v>
      </c>
      <c r="P12" s="21" t="s">
        <v>33</v>
      </c>
      <c r="Q12" s="5"/>
      <c r="R12" s="22"/>
      <c r="S12" s="23"/>
      <c r="T12" s="23">
        <f>T11+273</f>
        <v>503</v>
      </c>
      <c r="U12" s="21" t="s">
        <v>33</v>
      </c>
      <c r="V12" s="5"/>
      <c r="W12" s="22"/>
      <c r="X12" s="23"/>
      <c r="Y12" s="278">
        <f>Y11+273</f>
        <v>497.50317891786386</v>
      </c>
      <c r="Z12" s="21" t="s">
        <v>33</v>
      </c>
      <c r="AB12" s="22"/>
      <c r="AC12" s="23"/>
      <c r="AD12" s="278">
        <f>AD11+273</f>
        <v>497.50317891786386</v>
      </c>
      <c r="AE12" s="21" t="s">
        <v>33</v>
      </c>
      <c r="AG12" s="22"/>
      <c r="AH12" s="23"/>
      <c r="AI12" s="278">
        <f>AI11+273</f>
        <v>497.50317891786386</v>
      </c>
      <c r="AJ12" s="21" t="s">
        <v>33</v>
      </c>
      <c r="AK12" s="5"/>
      <c r="AL12" s="22"/>
      <c r="AM12" s="23"/>
      <c r="AN12" s="278">
        <f>AN11+273</f>
        <v>497.50317891786386</v>
      </c>
      <c r="AO12" s="21" t="s">
        <v>33</v>
      </c>
      <c r="AQ12" s="22"/>
      <c r="AR12" s="23"/>
      <c r="AS12" s="23">
        <f>AS11+273</f>
        <v>480.38354609265951</v>
      </c>
      <c r="AT12" s="21" t="s">
        <v>33</v>
      </c>
      <c r="AV12" s="22"/>
      <c r="AW12" s="23"/>
      <c r="AX12" s="23">
        <f>AX11+273</f>
        <v>480.38354609265951</v>
      </c>
      <c r="AY12" s="21" t="s">
        <v>33</v>
      </c>
      <c r="BA12" s="22"/>
      <c r="BB12" s="23"/>
      <c r="BC12" s="23">
        <f>BC11+273</f>
        <v>480.38354609265951</v>
      </c>
      <c r="BD12" s="21" t="s">
        <v>33</v>
      </c>
      <c r="BE12" s="5"/>
      <c r="BF12" s="22"/>
      <c r="BG12" s="23"/>
      <c r="BH12" s="23">
        <f>BH11+273</f>
        <v>480.38354609265951</v>
      </c>
      <c r="BI12" s="21" t="s">
        <v>33</v>
      </c>
      <c r="BK12" s="22"/>
      <c r="BL12" s="23"/>
      <c r="BM12" s="278">
        <f>BM11+273</f>
        <v>492.00635783572773</v>
      </c>
      <c r="BN12" s="21" t="s">
        <v>33</v>
      </c>
      <c r="BP12" s="22"/>
      <c r="BQ12" s="23"/>
      <c r="BR12" s="278">
        <f>BR11+273</f>
        <v>492.00635783572773</v>
      </c>
      <c r="BS12" s="21" t="s">
        <v>33</v>
      </c>
      <c r="BU12" s="22"/>
      <c r="BV12" s="23"/>
      <c r="BW12" s="278">
        <f>BW11+273</f>
        <v>492.00635783572773</v>
      </c>
      <c r="BX12" s="21" t="s">
        <v>33</v>
      </c>
      <c r="BY12" s="5"/>
      <c r="BZ12" s="22"/>
      <c r="CA12" s="23"/>
      <c r="CB12" s="278">
        <f>CB11+273</f>
        <v>492.00635783572773</v>
      </c>
      <c r="CC12" s="21" t="s">
        <v>33</v>
      </c>
      <c r="CE12" s="22"/>
      <c r="CF12" s="23"/>
      <c r="CG12" s="278">
        <f>CG11+273</f>
        <v>442.34751234418246</v>
      </c>
      <c r="CH12" s="21" t="s">
        <v>33</v>
      </c>
      <c r="CJ12" s="22"/>
      <c r="CK12" s="23"/>
      <c r="CL12" s="278">
        <f>CL11+273</f>
        <v>442.34751234418246</v>
      </c>
      <c r="CM12" s="21" t="s">
        <v>33</v>
      </c>
      <c r="CO12" s="22"/>
      <c r="CP12" s="23"/>
      <c r="CQ12" s="278">
        <f>CQ11+273</f>
        <v>442.34751234418246</v>
      </c>
      <c r="CR12" s="21" t="s">
        <v>33</v>
      </c>
      <c r="CT12" s="22"/>
      <c r="CU12" s="23"/>
      <c r="CV12" s="278">
        <f>CV11+273</f>
        <v>442.34751234418246</v>
      </c>
      <c r="CW12" s="21" t="s">
        <v>33</v>
      </c>
      <c r="CY12" s="22"/>
      <c r="CZ12" s="23"/>
      <c r="DA12" s="278">
        <f>DA11+273</f>
        <v>976.68425452863005</v>
      </c>
      <c r="DB12" s="21" t="s">
        <v>33</v>
      </c>
      <c r="DD12" s="22"/>
      <c r="DE12" s="23"/>
      <c r="DF12" s="278">
        <f>DF11+273</f>
        <v>976.68425452863005</v>
      </c>
      <c r="DG12" s="21" t="s">
        <v>33</v>
      </c>
      <c r="DI12" s="22"/>
      <c r="DJ12" s="23"/>
      <c r="DK12" s="278">
        <f>DK11+273</f>
        <v>976.68425452863005</v>
      </c>
      <c r="DL12" s="21" t="s">
        <v>33</v>
      </c>
      <c r="DN12" s="22"/>
      <c r="DO12" s="23"/>
      <c r="DP12" s="278">
        <f>DP11+273</f>
        <v>976.68425452863005</v>
      </c>
      <c r="DQ12" s="21" t="s">
        <v>33</v>
      </c>
      <c r="DS12" s="22"/>
      <c r="DT12" s="23"/>
      <c r="DU12" s="278">
        <f>DU11+273</f>
        <v>474.72943261582441</v>
      </c>
      <c r="DV12" s="21" t="s">
        <v>33</v>
      </c>
      <c r="DX12" s="22"/>
      <c r="DY12" s="23"/>
      <c r="DZ12" s="278">
        <f>DZ11+273</f>
        <v>474.72943261582441</v>
      </c>
      <c r="EA12" s="21" t="s">
        <v>33</v>
      </c>
      <c r="EC12" s="22"/>
      <c r="ED12" s="23"/>
      <c r="EE12" s="278">
        <f>EE11+273</f>
        <v>474.72943261582441</v>
      </c>
      <c r="EF12" s="21" t="s">
        <v>33</v>
      </c>
      <c r="EH12" s="22"/>
      <c r="EI12" s="23"/>
      <c r="EJ12" s="278">
        <f>EJ11+273</f>
        <v>474.72943261582441</v>
      </c>
      <c r="EK12" s="21" t="s">
        <v>33</v>
      </c>
      <c r="EM12" s="22"/>
      <c r="EN12" s="23"/>
      <c r="EO12" s="278">
        <f>EO11+273</f>
        <v>295</v>
      </c>
      <c r="EP12" s="21" t="s">
        <v>33</v>
      </c>
      <c r="ER12" s="5"/>
      <c r="ES12" s="5"/>
      <c r="ET12" s="168"/>
      <c r="EU12" s="5"/>
      <c r="EW12" s="22"/>
      <c r="EX12" s="23"/>
      <c r="EY12" s="278">
        <f>EY11+273</f>
        <v>352.73336514537851</v>
      </c>
      <c r="EZ12" s="21" t="s">
        <v>33</v>
      </c>
      <c r="FB12" s="5"/>
      <c r="FC12" s="5"/>
      <c r="FD12" s="168"/>
      <c r="FE12" s="5"/>
      <c r="FG12" s="22"/>
      <c r="FH12" s="23"/>
      <c r="FI12" s="278">
        <f>FI11+273</f>
        <v>420.39889791965879</v>
      </c>
      <c r="FJ12" s="21" t="s">
        <v>33</v>
      </c>
      <c r="FL12" s="22"/>
      <c r="FM12" s="23"/>
      <c r="FN12" s="278">
        <f>FN11+273</f>
        <v>420.39889791965879</v>
      </c>
      <c r="FO12" s="21" t="s">
        <v>33</v>
      </c>
      <c r="FQ12" s="22"/>
      <c r="FR12" s="23"/>
      <c r="FS12" s="278">
        <f>FS11+273</f>
        <v>420.39889791965879</v>
      </c>
      <c r="FT12" s="21" t="s">
        <v>33</v>
      </c>
      <c r="FV12" s="22"/>
      <c r="FW12" s="23"/>
      <c r="FX12" s="278">
        <f>FX11+273</f>
        <v>420.39889791965879</v>
      </c>
      <c r="FY12" s="21" t="s">
        <v>33</v>
      </c>
      <c r="GA12" s="22"/>
      <c r="GB12" s="23"/>
      <c r="GC12" s="278">
        <f>GC11+273</f>
        <v>331.24149710140682</v>
      </c>
      <c r="GD12" s="21" t="s">
        <v>33</v>
      </c>
      <c r="GF12" s="22"/>
      <c r="GG12" s="23"/>
      <c r="GH12" s="278">
        <f>GH11+273</f>
        <v>331.24149710140682</v>
      </c>
      <c r="GI12" s="21" t="s">
        <v>33</v>
      </c>
      <c r="GK12" s="22"/>
      <c r="GL12" s="23"/>
      <c r="GM12" s="278">
        <f>GM11+273</f>
        <v>331.24149710140682</v>
      </c>
      <c r="GN12" s="21" t="s">
        <v>33</v>
      </c>
      <c r="GP12" s="22"/>
      <c r="GQ12" s="23"/>
      <c r="GR12" s="278">
        <f>GR11+273</f>
        <v>331.24149710140682</v>
      </c>
      <c r="GS12" s="21" t="s">
        <v>33</v>
      </c>
      <c r="GU12" s="22"/>
      <c r="GV12" s="23"/>
      <c r="GW12" s="23">
        <f>GW11+273</f>
        <v>381.35024430210245</v>
      </c>
      <c r="GX12" s="21" t="s">
        <v>33</v>
      </c>
      <c r="GZ12" s="22"/>
      <c r="HA12" s="23"/>
      <c r="HB12" s="23">
        <f>HB11+273</f>
        <v>381.35024430210245</v>
      </c>
      <c r="HC12" s="21" t="s">
        <v>33</v>
      </c>
      <c r="HE12" s="22"/>
      <c r="HF12" s="23"/>
      <c r="HG12" s="23">
        <f>HG11+273</f>
        <v>381.35024430210245</v>
      </c>
      <c r="HH12" s="21" t="s">
        <v>33</v>
      </c>
      <c r="HI12" s="5"/>
      <c r="HJ12" s="22"/>
      <c r="HK12" s="23"/>
      <c r="HL12" s="23">
        <f>HL11+273</f>
        <v>381.35024430210245</v>
      </c>
      <c r="HM12" s="21" t="s">
        <v>33</v>
      </c>
      <c r="HO12" s="22"/>
      <c r="HP12" s="23"/>
      <c r="HQ12" s="23">
        <f>HQ11+273</f>
        <v>540.93292412887399</v>
      </c>
      <c r="HR12" s="21" t="s">
        <v>33</v>
      </c>
      <c r="HT12" s="22"/>
      <c r="HU12" s="23"/>
      <c r="HV12" s="23">
        <f>HV11+273</f>
        <v>540.93292412887399</v>
      </c>
      <c r="HW12" s="21" t="s">
        <v>33</v>
      </c>
      <c r="HY12" s="22"/>
      <c r="HZ12" s="23"/>
      <c r="IA12" s="23">
        <f>IA11+273</f>
        <v>540.93292412887399</v>
      </c>
      <c r="IB12" s="21" t="s">
        <v>33</v>
      </c>
      <c r="IC12" s="5"/>
      <c r="ID12" s="22"/>
      <c r="IE12" s="23"/>
      <c r="IF12" s="23">
        <f>IF11+273</f>
        <v>540.93292412887399</v>
      </c>
      <c r="IG12" s="21" t="s">
        <v>33</v>
      </c>
      <c r="II12" s="22"/>
      <c r="IJ12" s="23"/>
      <c r="IK12" s="23">
        <f>IK11+273</f>
        <v>509.01638816351965</v>
      </c>
      <c r="IL12" s="21" t="s">
        <v>33</v>
      </c>
      <c r="IN12" s="22"/>
      <c r="IO12" s="23"/>
      <c r="IP12" s="23">
        <f>IP11+273</f>
        <v>509.01638816351965</v>
      </c>
      <c r="IQ12" s="21" t="s">
        <v>33</v>
      </c>
      <c r="IS12" s="22"/>
      <c r="IT12" s="23"/>
      <c r="IU12" s="23">
        <f>IU11+273</f>
        <v>509.01638816351965</v>
      </c>
      <c r="IV12" s="21" t="s">
        <v>33</v>
      </c>
      <c r="IW12" s="5"/>
      <c r="IX12" s="22"/>
      <c r="IY12" s="23"/>
      <c r="IZ12" s="23">
        <f>IZ11+273</f>
        <v>509.01638816351965</v>
      </c>
      <c r="JA12" s="21" t="s">
        <v>33</v>
      </c>
      <c r="JC12" s="22"/>
      <c r="JD12" s="23"/>
      <c r="JE12" s="23">
        <f>JE11+273</f>
        <v>386.16915092315458</v>
      </c>
      <c r="JF12" s="21" t="s">
        <v>33</v>
      </c>
      <c r="JH12" s="22"/>
      <c r="JI12" s="23"/>
      <c r="JJ12" s="23">
        <f>JJ11+273</f>
        <v>386.16915092315458</v>
      </c>
      <c r="JK12" s="21" t="s">
        <v>33</v>
      </c>
      <c r="JM12" s="22"/>
      <c r="JN12" s="23"/>
      <c r="JO12" s="23">
        <f>JO11+273</f>
        <v>386.16915092315458</v>
      </c>
      <c r="JP12" s="21" t="s">
        <v>33</v>
      </c>
      <c r="JQ12" s="5"/>
      <c r="JR12" s="22"/>
      <c r="JS12" s="23"/>
      <c r="JT12" s="23">
        <f>JT11+273</f>
        <v>386.16915092315458</v>
      </c>
      <c r="JU12" s="21" t="s">
        <v>33</v>
      </c>
      <c r="JW12" s="22"/>
      <c r="JX12" s="23"/>
      <c r="JY12" s="23">
        <f>JY11+273</f>
        <v>420.394793844221</v>
      </c>
      <c r="JZ12" s="21" t="s">
        <v>33</v>
      </c>
      <c r="KB12" s="22"/>
      <c r="KC12" s="23"/>
      <c r="KD12" s="23">
        <f>KD11+273</f>
        <v>420.394793844221</v>
      </c>
      <c r="KE12" s="21" t="s">
        <v>33</v>
      </c>
      <c r="KG12" s="22"/>
      <c r="KH12" s="23"/>
      <c r="KI12" s="23">
        <f>KI11+273</f>
        <v>420.394793844221</v>
      </c>
      <c r="KJ12" s="21" t="s">
        <v>33</v>
      </c>
      <c r="KK12" s="5"/>
      <c r="KL12" s="22"/>
      <c r="KM12" s="23"/>
      <c r="KN12" s="23">
        <f>KN11+273</f>
        <v>420.394793844221</v>
      </c>
      <c r="KO12" s="21" t="s">
        <v>33</v>
      </c>
      <c r="KQ12" s="22"/>
      <c r="KR12" s="23"/>
      <c r="KS12" s="23">
        <f>KS11+273</f>
        <v>716</v>
      </c>
      <c r="KT12" s="21" t="s">
        <v>33</v>
      </c>
      <c r="KV12" s="22"/>
      <c r="KW12" s="23"/>
      <c r="KX12" s="23">
        <f>KX11+273</f>
        <v>716</v>
      </c>
      <c r="KY12" s="21" t="s">
        <v>33</v>
      </c>
      <c r="LA12" s="22"/>
      <c r="LB12" s="23"/>
      <c r="LC12" s="23">
        <f>LC11+273</f>
        <v>716</v>
      </c>
      <c r="LD12" s="21" t="s">
        <v>33</v>
      </c>
      <c r="LE12" s="5"/>
      <c r="LF12" s="22"/>
      <c r="LG12" s="23"/>
      <c r="LH12" s="23">
        <f>LH11+273</f>
        <v>716</v>
      </c>
      <c r="LI12" s="21" t="s">
        <v>33</v>
      </c>
      <c r="LK12" s="22"/>
      <c r="LL12" s="23"/>
      <c r="LM12" s="23" t="e">
        <f>LM11+273</f>
        <v>#REF!</v>
      </c>
      <c r="LN12" s="21" t="s">
        <v>33</v>
      </c>
      <c r="LP12" s="22"/>
      <c r="LQ12" s="23"/>
      <c r="LR12" s="23" t="e">
        <f>LR11+273</f>
        <v>#REF!</v>
      </c>
      <c r="LS12" s="21" t="s">
        <v>33</v>
      </c>
      <c r="LU12" s="22"/>
      <c r="LV12" s="23"/>
      <c r="LW12" s="23" t="e">
        <f>LW11+273</f>
        <v>#REF!</v>
      </c>
      <c r="LX12" s="21" t="s">
        <v>33</v>
      </c>
      <c r="LY12" s="5"/>
      <c r="LZ12" s="22"/>
      <c r="MA12" s="23"/>
      <c r="MB12" s="23" t="e">
        <f>MB11+273</f>
        <v>#REF!</v>
      </c>
      <c r="MC12" s="21" t="s">
        <v>33</v>
      </c>
    </row>
    <row r="13" spans="2:341" ht="16" thickBot="1" x14ac:dyDescent="0.25">
      <c r="B13" s="125"/>
      <c r="C13" s="221" t="s">
        <v>42</v>
      </c>
      <c r="D13" s="222" t="s">
        <v>43</v>
      </c>
      <c r="E13" s="222" t="s">
        <v>43</v>
      </c>
      <c r="F13" s="223"/>
      <c r="G13" s="125"/>
      <c r="H13" s="221" t="s">
        <v>42</v>
      </c>
      <c r="I13" s="222" t="s">
        <v>43</v>
      </c>
      <c r="J13" s="222" t="s">
        <v>43</v>
      </c>
      <c r="K13" s="223"/>
      <c r="L13" s="125"/>
      <c r="M13" s="221" t="s">
        <v>42</v>
      </c>
      <c r="N13" s="222" t="s">
        <v>43</v>
      </c>
      <c r="O13" s="222" t="s">
        <v>43</v>
      </c>
      <c r="P13" s="223"/>
      <c r="Q13" s="5"/>
      <c r="R13" s="221" t="s">
        <v>42</v>
      </c>
      <c r="S13" s="222" t="s">
        <v>43</v>
      </c>
      <c r="T13" s="222" t="s">
        <v>43</v>
      </c>
      <c r="U13" s="223"/>
      <c r="V13" s="5"/>
      <c r="W13" s="221" t="s">
        <v>42</v>
      </c>
      <c r="X13" s="222" t="s">
        <v>43</v>
      </c>
      <c r="Y13" s="222" t="s">
        <v>43</v>
      </c>
      <c r="Z13" s="223"/>
      <c r="AA13" s="125"/>
      <c r="AB13" s="221" t="s">
        <v>42</v>
      </c>
      <c r="AC13" s="222" t="s">
        <v>43</v>
      </c>
      <c r="AD13" s="222" t="s">
        <v>43</v>
      </c>
      <c r="AE13" s="223"/>
      <c r="AG13" s="221" t="s">
        <v>42</v>
      </c>
      <c r="AH13" s="222" t="s">
        <v>43</v>
      </c>
      <c r="AI13" s="222" t="s">
        <v>43</v>
      </c>
      <c r="AJ13" s="223"/>
      <c r="AK13" s="5"/>
      <c r="AL13" s="221" t="s">
        <v>42</v>
      </c>
      <c r="AM13" s="222" t="s">
        <v>43</v>
      </c>
      <c r="AN13" s="222" t="s">
        <v>43</v>
      </c>
      <c r="AO13" s="223"/>
      <c r="AQ13" s="221" t="s">
        <v>42</v>
      </c>
      <c r="AR13" s="222" t="s">
        <v>43</v>
      </c>
      <c r="AS13" s="222" t="s">
        <v>43</v>
      </c>
      <c r="AT13" s="223"/>
      <c r="AU13" s="125"/>
      <c r="AV13" s="221" t="s">
        <v>42</v>
      </c>
      <c r="AW13" s="222" t="s">
        <v>43</v>
      </c>
      <c r="AX13" s="222" t="s">
        <v>43</v>
      </c>
      <c r="AY13" s="223"/>
      <c r="AZ13" s="125"/>
      <c r="BA13" s="221" t="s">
        <v>42</v>
      </c>
      <c r="BB13" s="222" t="s">
        <v>43</v>
      </c>
      <c r="BC13" s="222" t="s">
        <v>43</v>
      </c>
      <c r="BD13" s="223"/>
      <c r="BE13" s="5"/>
      <c r="BF13" s="221" t="s">
        <v>42</v>
      </c>
      <c r="BG13" s="222" t="s">
        <v>43</v>
      </c>
      <c r="BH13" s="222" t="s">
        <v>43</v>
      </c>
      <c r="BI13" s="223"/>
      <c r="BK13" s="221" t="s">
        <v>42</v>
      </c>
      <c r="BL13" s="222" t="s">
        <v>43</v>
      </c>
      <c r="BM13" s="222" t="s">
        <v>43</v>
      </c>
      <c r="BN13" s="223"/>
      <c r="BO13" s="125"/>
      <c r="BP13" s="221" t="s">
        <v>42</v>
      </c>
      <c r="BQ13" s="222" t="s">
        <v>43</v>
      </c>
      <c r="BR13" s="222" t="s">
        <v>43</v>
      </c>
      <c r="BS13" s="223"/>
      <c r="BU13" s="221" t="s">
        <v>42</v>
      </c>
      <c r="BV13" s="222" t="s">
        <v>43</v>
      </c>
      <c r="BW13" s="222" t="s">
        <v>43</v>
      </c>
      <c r="BX13" s="223"/>
      <c r="BY13" s="5"/>
      <c r="BZ13" s="221" t="s">
        <v>42</v>
      </c>
      <c r="CA13" s="222" t="s">
        <v>43</v>
      </c>
      <c r="CB13" s="222" t="s">
        <v>43</v>
      </c>
      <c r="CC13" s="223"/>
      <c r="CE13" s="221" t="s">
        <v>42</v>
      </c>
      <c r="CF13" s="222" t="s">
        <v>43</v>
      </c>
      <c r="CG13" s="222" t="s">
        <v>43</v>
      </c>
      <c r="CH13" s="223"/>
      <c r="CI13" s="125"/>
      <c r="CJ13" s="221" t="s">
        <v>42</v>
      </c>
      <c r="CK13" s="222" t="s">
        <v>43</v>
      </c>
      <c r="CL13" s="222" t="s">
        <v>43</v>
      </c>
      <c r="CM13" s="223"/>
      <c r="CO13" s="221" t="s">
        <v>42</v>
      </c>
      <c r="CP13" s="222" t="s">
        <v>43</v>
      </c>
      <c r="CQ13" s="222" t="s">
        <v>43</v>
      </c>
      <c r="CR13" s="223"/>
      <c r="CT13" s="221" t="s">
        <v>42</v>
      </c>
      <c r="CU13" s="222" t="s">
        <v>43</v>
      </c>
      <c r="CV13" s="222" t="s">
        <v>43</v>
      </c>
      <c r="CW13" s="223"/>
      <c r="CY13" s="221" t="s">
        <v>42</v>
      </c>
      <c r="CZ13" s="222" t="s">
        <v>43</v>
      </c>
      <c r="DA13" s="222" t="s">
        <v>43</v>
      </c>
      <c r="DB13" s="223"/>
      <c r="DC13" s="125"/>
      <c r="DD13" s="221" t="s">
        <v>42</v>
      </c>
      <c r="DE13" s="222" t="s">
        <v>43</v>
      </c>
      <c r="DF13" s="222" t="s">
        <v>43</v>
      </c>
      <c r="DG13" s="223"/>
      <c r="DI13" s="221" t="s">
        <v>42</v>
      </c>
      <c r="DJ13" s="222" t="s">
        <v>43</v>
      </c>
      <c r="DK13" s="222" t="s">
        <v>43</v>
      </c>
      <c r="DL13" s="223"/>
      <c r="DN13" s="221" t="s">
        <v>42</v>
      </c>
      <c r="DO13" s="222" t="s">
        <v>43</v>
      </c>
      <c r="DP13" s="222" t="s">
        <v>43</v>
      </c>
      <c r="DQ13" s="223"/>
      <c r="DS13" s="221" t="s">
        <v>42</v>
      </c>
      <c r="DT13" s="222" t="s">
        <v>43</v>
      </c>
      <c r="DU13" s="222" t="s">
        <v>43</v>
      </c>
      <c r="DV13" s="223"/>
      <c r="DW13" s="125"/>
      <c r="DX13" s="221" t="s">
        <v>42</v>
      </c>
      <c r="DY13" s="222" t="s">
        <v>43</v>
      </c>
      <c r="DZ13" s="222" t="s">
        <v>43</v>
      </c>
      <c r="EA13" s="223"/>
      <c r="EC13" s="221" t="s">
        <v>42</v>
      </c>
      <c r="ED13" s="222" t="s">
        <v>43</v>
      </c>
      <c r="EE13" s="222" t="s">
        <v>43</v>
      </c>
      <c r="EF13" s="223"/>
      <c r="EH13" s="221" t="s">
        <v>42</v>
      </c>
      <c r="EI13" s="222" t="s">
        <v>43</v>
      </c>
      <c r="EJ13" s="222" t="s">
        <v>43</v>
      </c>
      <c r="EK13" s="223"/>
      <c r="EM13" s="221" t="s">
        <v>42</v>
      </c>
      <c r="EN13" s="222" t="s">
        <v>43</v>
      </c>
      <c r="EO13" s="222" t="s">
        <v>43</v>
      </c>
      <c r="EP13" s="223"/>
      <c r="EQ13" s="125"/>
      <c r="ER13" s="222"/>
      <c r="ES13" s="222"/>
      <c r="ET13" s="222"/>
      <c r="EU13" s="5"/>
      <c r="EW13" s="221" t="s">
        <v>42</v>
      </c>
      <c r="EX13" s="222" t="s">
        <v>43</v>
      </c>
      <c r="EY13" s="222" t="s">
        <v>43</v>
      </c>
      <c r="EZ13" s="223"/>
      <c r="FA13" s="125"/>
      <c r="FB13" s="222"/>
      <c r="FC13" s="222"/>
      <c r="FD13" s="222"/>
      <c r="FE13" s="5"/>
      <c r="FG13" s="221" t="s">
        <v>42</v>
      </c>
      <c r="FH13" s="222" t="s">
        <v>43</v>
      </c>
      <c r="FI13" s="222" t="s">
        <v>43</v>
      </c>
      <c r="FJ13" s="223"/>
      <c r="FK13" s="125"/>
      <c r="FL13" s="221" t="s">
        <v>42</v>
      </c>
      <c r="FM13" s="222" t="s">
        <v>43</v>
      </c>
      <c r="FN13" s="222" t="s">
        <v>43</v>
      </c>
      <c r="FO13" s="223"/>
      <c r="FQ13" s="221" t="s">
        <v>42</v>
      </c>
      <c r="FR13" s="222" t="s">
        <v>43</v>
      </c>
      <c r="FS13" s="222" t="s">
        <v>43</v>
      </c>
      <c r="FT13" s="223"/>
      <c r="FV13" s="221" t="s">
        <v>42</v>
      </c>
      <c r="FW13" s="222" t="s">
        <v>43</v>
      </c>
      <c r="FX13" s="222" t="s">
        <v>43</v>
      </c>
      <c r="FY13" s="223"/>
      <c r="GA13" s="221" t="s">
        <v>42</v>
      </c>
      <c r="GB13" s="222" t="s">
        <v>43</v>
      </c>
      <c r="GC13" s="222" t="s">
        <v>43</v>
      </c>
      <c r="GD13" s="223"/>
      <c r="GE13" s="125"/>
      <c r="GF13" s="221" t="s">
        <v>42</v>
      </c>
      <c r="GG13" s="222" t="s">
        <v>43</v>
      </c>
      <c r="GH13" s="222" t="s">
        <v>43</v>
      </c>
      <c r="GI13" s="223"/>
      <c r="GK13" s="221" t="s">
        <v>42</v>
      </c>
      <c r="GL13" s="222" t="s">
        <v>43</v>
      </c>
      <c r="GM13" s="222" t="s">
        <v>43</v>
      </c>
      <c r="GN13" s="223"/>
      <c r="GP13" s="221" t="s">
        <v>42</v>
      </c>
      <c r="GQ13" s="222" t="s">
        <v>43</v>
      </c>
      <c r="GR13" s="222" t="s">
        <v>43</v>
      </c>
      <c r="GS13" s="223"/>
      <c r="GU13" s="221" t="s">
        <v>42</v>
      </c>
      <c r="GV13" s="222" t="s">
        <v>43</v>
      </c>
      <c r="GW13" s="222" t="s">
        <v>43</v>
      </c>
      <c r="GX13" s="223"/>
      <c r="GY13" s="125"/>
      <c r="GZ13" s="221" t="s">
        <v>42</v>
      </c>
      <c r="HA13" s="222" t="s">
        <v>43</v>
      </c>
      <c r="HB13" s="222" t="s">
        <v>43</v>
      </c>
      <c r="HC13" s="223"/>
      <c r="HD13" s="125"/>
      <c r="HE13" s="221" t="s">
        <v>42</v>
      </c>
      <c r="HF13" s="222" t="s">
        <v>43</v>
      </c>
      <c r="HG13" s="222" t="s">
        <v>43</v>
      </c>
      <c r="HH13" s="223"/>
      <c r="HI13" s="5"/>
      <c r="HJ13" s="221" t="s">
        <v>42</v>
      </c>
      <c r="HK13" s="222" t="s">
        <v>43</v>
      </c>
      <c r="HL13" s="222" t="s">
        <v>43</v>
      </c>
      <c r="HM13" s="223"/>
      <c r="HO13" s="221" t="s">
        <v>42</v>
      </c>
      <c r="HP13" s="222" t="s">
        <v>43</v>
      </c>
      <c r="HQ13" s="222" t="s">
        <v>43</v>
      </c>
      <c r="HR13" s="223"/>
      <c r="HS13" s="125"/>
      <c r="HT13" s="221" t="s">
        <v>42</v>
      </c>
      <c r="HU13" s="222" t="s">
        <v>43</v>
      </c>
      <c r="HV13" s="222" t="s">
        <v>43</v>
      </c>
      <c r="HW13" s="223"/>
      <c r="HX13" s="125"/>
      <c r="HY13" s="221" t="s">
        <v>42</v>
      </c>
      <c r="HZ13" s="222" t="s">
        <v>43</v>
      </c>
      <c r="IA13" s="222" t="s">
        <v>43</v>
      </c>
      <c r="IB13" s="223"/>
      <c r="IC13" s="5"/>
      <c r="ID13" s="221" t="s">
        <v>42</v>
      </c>
      <c r="IE13" s="222" t="s">
        <v>43</v>
      </c>
      <c r="IF13" s="222" t="s">
        <v>43</v>
      </c>
      <c r="IG13" s="223"/>
      <c r="II13" s="221" t="s">
        <v>42</v>
      </c>
      <c r="IJ13" s="222" t="s">
        <v>43</v>
      </c>
      <c r="IK13" s="222" t="s">
        <v>43</v>
      </c>
      <c r="IL13" s="223"/>
      <c r="IM13" s="125"/>
      <c r="IN13" s="221" t="s">
        <v>42</v>
      </c>
      <c r="IO13" s="222" t="s">
        <v>43</v>
      </c>
      <c r="IP13" s="222" t="s">
        <v>43</v>
      </c>
      <c r="IQ13" s="223"/>
      <c r="IR13" s="125"/>
      <c r="IS13" s="221" t="s">
        <v>42</v>
      </c>
      <c r="IT13" s="222" t="s">
        <v>43</v>
      </c>
      <c r="IU13" s="222" t="s">
        <v>43</v>
      </c>
      <c r="IV13" s="223"/>
      <c r="IW13" s="5"/>
      <c r="IX13" s="221" t="s">
        <v>42</v>
      </c>
      <c r="IY13" s="222" t="s">
        <v>43</v>
      </c>
      <c r="IZ13" s="222" t="s">
        <v>43</v>
      </c>
      <c r="JA13" s="223"/>
      <c r="JC13" s="221" t="s">
        <v>42</v>
      </c>
      <c r="JD13" s="222" t="s">
        <v>43</v>
      </c>
      <c r="JE13" s="222" t="s">
        <v>43</v>
      </c>
      <c r="JF13" s="223"/>
      <c r="JG13" s="125"/>
      <c r="JH13" s="221" t="s">
        <v>42</v>
      </c>
      <c r="JI13" s="222" t="s">
        <v>43</v>
      </c>
      <c r="JJ13" s="222" t="s">
        <v>43</v>
      </c>
      <c r="JK13" s="223"/>
      <c r="JL13" s="125"/>
      <c r="JM13" s="221" t="s">
        <v>42</v>
      </c>
      <c r="JN13" s="222" t="s">
        <v>43</v>
      </c>
      <c r="JO13" s="222" t="s">
        <v>43</v>
      </c>
      <c r="JP13" s="223"/>
      <c r="JQ13" s="5"/>
      <c r="JR13" s="221" t="s">
        <v>42</v>
      </c>
      <c r="JS13" s="222" t="s">
        <v>43</v>
      </c>
      <c r="JT13" s="222" t="s">
        <v>43</v>
      </c>
      <c r="JU13" s="223"/>
      <c r="JW13" s="221" t="s">
        <v>42</v>
      </c>
      <c r="JX13" s="222" t="s">
        <v>43</v>
      </c>
      <c r="JY13" s="222" t="s">
        <v>43</v>
      </c>
      <c r="JZ13" s="223"/>
      <c r="KA13" s="125"/>
      <c r="KB13" s="221" t="s">
        <v>42</v>
      </c>
      <c r="KC13" s="222" t="s">
        <v>43</v>
      </c>
      <c r="KD13" s="222" t="s">
        <v>43</v>
      </c>
      <c r="KE13" s="223"/>
      <c r="KF13" s="125"/>
      <c r="KG13" s="221" t="s">
        <v>42</v>
      </c>
      <c r="KH13" s="222" t="s">
        <v>43</v>
      </c>
      <c r="KI13" s="222" t="s">
        <v>43</v>
      </c>
      <c r="KJ13" s="223"/>
      <c r="KK13" s="5"/>
      <c r="KL13" s="221" t="s">
        <v>42</v>
      </c>
      <c r="KM13" s="222" t="s">
        <v>43</v>
      </c>
      <c r="KN13" s="222" t="s">
        <v>43</v>
      </c>
      <c r="KO13" s="223"/>
      <c r="KQ13" s="221" t="s">
        <v>42</v>
      </c>
      <c r="KR13" s="222" t="s">
        <v>43</v>
      </c>
      <c r="KS13" s="222" t="s">
        <v>43</v>
      </c>
      <c r="KT13" s="223"/>
      <c r="KU13" s="125"/>
      <c r="KV13" s="221" t="s">
        <v>42</v>
      </c>
      <c r="KW13" s="222" t="s">
        <v>43</v>
      </c>
      <c r="KX13" s="222" t="s">
        <v>43</v>
      </c>
      <c r="KY13" s="223"/>
      <c r="KZ13" s="125"/>
      <c r="LA13" s="221" t="s">
        <v>42</v>
      </c>
      <c r="LB13" s="222" t="s">
        <v>43</v>
      </c>
      <c r="LC13" s="222" t="s">
        <v>43</v>
      </c>
      <c r="LD13" s="223"/>
      <c r="LE13" s="5"/>
      <c r="LF13" s="221" t="s">
        <v>42</v>
      </c>
      <c r="LG13" s="222" t="s">
        <v>43</v>
      </c>
      <c r="LH13" s="222" t="s">
        <v>43</v>
      </c>
      <c r="LI13" s="223"/>
      <c r="LK13" s="221" t="s">
        <v>42</v>
      </c>
      <c r="LL13" s="222" t="s">
        <v>43</v>
      </c>
      <c r="LM13" s="222" t="s">
        <v>43</v>
      </c>
      <c r="LN13" s="223"/>
      <c r="LO13" s="125"/>
      <c r="LP13" s="221" t="s">
        <v>42</v>
      </c>
      <c r="LQ13" s="222" t="s">
        <v>43</v>
      </c>
      <c r="LR13" s="222" t="s">
        <v>43</v>
      </c>
      <c r="LS13" s="223"/>
      <c r="LT13" s="125"/>
      <c r="LU13" s="221" t="s">
        <v>42</v>
      </c>
      <c r="LV13" s="222" t="s">
        <v>43</v>
      </c>
      <c r="LW13" s="222" t="s">
        <v>43</v>
      </c>
      <c r="LX13" s="223"/>
      <c r="LY13" s="5"/>
      <c r="LZ13" s="221" t="s">
        <v>42</v>
      </c>
      <c r="MA13" s="222" t="s">
        <v>43</v>
      </c>
      <c r="MB13" s="222" t="s">
        <v>43</v>
      </c>
      <c r="MC13" s="223"/>
    </row>
    <row r="14" spans="2:341" ht="16" thickBot="1" x14ac:dyDescent="0.25">
      <c r="B14" s="125"/>
      <c r="C14" s="224">
        <v>175</v>
      </c>
      <c r="D14" s="225">
        <v>1.85</v>
      </c>
      <c r="E14" s="226">
        <f>IF(($E$12&gt;=C14)*AND($E$12&lt;C15),(((($E$12-C14)/(C15-C14))*(D15-D14))+D14),0)</f>
        <v>0</v>
      </c>
      <c r="F14" s="223"/>
      <c r="G14" s="125"/>
      <c r="H14" s="227">
        <v>175</v>
      </c>
      <c r="I14" s="228">
        <v>13.12</v>
      </c>
      <c r="J14" s="229">
        <f>IF(($J$12&gt;=H14)*AND($J$12&lt;H15),(((($J$12-H14)/(H15-H14))*(I15-I14))+I14),0)</f>
        <v>0</v>
      </c>
      <c r="K14" s="223"/>
      <c r="L14" s="125"/>
      <c r="M14" s="227">
        <v>175</v>
      </c>
      <c r="N14" s="228">
        <v>0.70899999999999996</v>
      </c>
      <c r="O14" s="226">
        <f>IF(($O$12&gt;=M14)*AND($O$12&lt;M15),(((($O$12-M14)/(M15-M14))*(N15-N14))+N14),0)</f>
        <v>0</v>
      </c>
      <c r="P14" s="223"/>
      <c r="Q14" s="5"/>
      <c r="R14" s="153">
        <v>200</v>
      </c>
      <c r="S14" s="241">
        <v>2.0870000000000002</v>
      </c>
      <c r="T14" s="226">
        <f>IF(($T$12&gt;=R14)*AND($T$12&lt;R15),(((($T$12-R14)/(R15-R14))*(S15-S14))+S14),0)</f>
        <v>0</v>
      </c>
      <c r="U14" s="223"/>
      <c r="V14" s="5"/>
      <c r="W14" s="224">
        <v>175</v>
      </c>
      <c r="X14" s="225">
        <v>1.85</v>
      </c>
      <c r="Y14" s="226">
        <f>IF(($Y$12&gt;=W14)*AND($Y$12&lt;W15),(((($Y$12-W14)/(W15-W14))*(X15-X14))+X14),0)</f>
        <v>0</v>
      </c>
      <c r="Z14" s="223"/>
      <c r="AA14" s="125"/>
      <c r="AB14" s="227">
        <v>175</v>
      </c>
      <c r="AC14" s="228">
        <v>13.12</v>
      </c>
      <c r="AD14" s="229">
        <f>IF(($AD$12&gt;=AB14)*AND($AD$12&lt;AB15),(((($AD$12-AB14)/(AB15-AB14))*(AC15-AC14))+AC14),0)</f>
        <v>0</v>
      </c>
      <c r="AE14" s="223"/>
      <c r="AF14" s="125"/>
      <c r="AG14" s="227">
        <v>175</v>
      </c>
      <c r="AH14" s="228">
        <v>0.70899999999999996</v>
      </c>
      <c r="AI14" s="226">
        <f>IF(($AI$12&gt;=AG14)*AND($AI$12&lt;AG15),(((($AI$12-AG14)/(AG15-AG14))*(AH15-AH14))+AH14),0)</f>
        <v>0</v>
      </c>
      <c r="AJ14" s="223"/>
      <c r="AK14" s="5"/>
      <c r="AL14" s="153">
        <v>175</v>
      </c>
      <c r="AM14" s="241">
        <v>1.0389999999999999</v>
      </c>
      <c r="AN14" s="226">
        <f>IF(($AN$12&gt;=AL14)*AND($AN$12&lt;AL15),(((($AN$12-AL14)/(AL15-AL14))*(AM15-AM14))+AM14),0)</f>
        <v>0</v>
      </c>
      <c r="AO14" s="223"/>
      <c r="AQ14" s="224">
        <v>175</v>
      </c>
      <c r="AR14" s="225">
        <v>1.85</v>
      </c>
      <c r="AS14" s="226">
        <f>IF(($AS$12&gt;=AQ14)*AND($AS$12&lt;AQ15),(((($AS$12-AQ14)/(AQ15-AQ14))*(AR15-AR14))+AR14),0)</f>
        <v>0</v>
      </c>
      <c r="AT14" s="223"/>
      <c r="AU14" s="125"/>
      <c r="AV14" s="227">
        <v>175</v>
      </c>
      <c r="AW14" s="228">
        <v>13.12</v>
      </c>
      <c r="AX14" s="229">
        <f>IF(($AX$12&gt;=AV14)*AND($AX$12&lt;AV15),(((($AX$12-AV14)/(AV15-AV14))*(AW15-AW14))+AW14),0)</f>
        <v>0</v>
      </c>
      <c r="AY14" s="223"/>
      <c r="AZ14" s="125"/>
      <c r="BA14" s="227">
        <v>175</v>
      </c>
      <c r="BB14" s="228">
        <v>0.70899999999999996</v>
      </c>
      <c r="BC14" s="226">
        <f>IF(($BC$12&gt;=BA14)*AND($BC$12&lt;BA15),(((($BC$12-BA14)/(BA15-BA14))*(BB15-BB14))+BB14),0)</f>
        <v>0</v>
      </c>
      <c r="BD14" s="223"/>
      <c r="BE14" s="5"/>
      <c r="BF14" s="153">
        <v>200</v>
      </c>
      <c r="BG14" s="241">
        <v>2.0870000000000002</v>
      </c>
      <c r="BH14" s="226">
        <f>IF(($BH$12&gt;=BF14)*AND($BH$12&lt;BF15),(((($BH$12-BF14)/(BF15-BF14))*(BG15-BG14))+BG14),0)</f>
        <v>0</v>
      </c>
      <c r="BI14" s="223"/>
      <c r="BK14" s="224">
        <v>175</v>
      </c>
      <c r="BL14" s="225">
        <v>1.85</v>
      </c>
      <c r="BM14" s="226">
        <f>IF(($BM$12&gt;=BK14)*AND($BM$12&lt;BK15),(((($BM$12-BK14)/(BK15-BK14))*(BL15-BL14))+BL14),0)</f>
        <v>0</v>
      </c>
      <c r="BN14" s="223"/>
      <c r="BO14" s="125"/>
      <c r="BP14" s="227">
        <v>175</v>
      </c>
      <c r="BQ14" s="228">
        <v>13.12</v>
      </c>
      <c r="BR14" s="229">
        <f>IF(($BR$12&gt;=BP14)*AND($BR$12&lt;BP15),(((($BR$12-BP14)/(BP15-BP14))*(BQ15-BQ14))+BQ14),0)</f>
        <v>0</v>
      </c>
      <c r="BS14" s="223"/>
      <c r="BT14" s="125"/>
      <c r="BU14" s="227">
        <v>175</v>
      </c>
      <c r="BV14" s="228">
        <v>0.70899999999999996</v>
      </c>
      <c r="BW14" s="226">
        <f>IF(($BW$12&gt;=BU14)*AND($BW$12&lt;BU15),(((($BW$12-BU14)/(BU15-BU14))*(BV15-BV14))+BV14),0)</f>
        <v>0</v>
      </c>
      <c r="BX14" s="223"/>
      <c r="BY14" s="5"/>
      <c r="BZ14" s="153">
        <v>175</v>
      </c>
      <c r="CA14" s="241">
        <v>1.0389999999999999</v>
      </c>
      <c r="CB14" s="226">
        <f>IF(($CB$12&gt;=BZ14)*AND($CB$12&lt;BZ15),(((($CB$12-BZ14)/(BZ15-BZ14))*(CA15-CA14))+CA14),0)</f>
        <v>0</v>
      </c>
      <c r="CC14" s="223"/>
      <c r="CE14" s="224">
        <v>175</v>
      </c>
      <c r="CF14" s="225">
        <v>1.85</v>
      </c>
      <c r="CG14" s="226">
        <f>IF(($CG$12&gt;=CE14)*AND($CG$12&lt;CE15),(((($CG$12-CE14)/(CE15-CE14))*(CF15-CF14))+CF14),0)</f>
        <v>0</v>
      </c>
      <c r="CH14" s="223"/>
      <c r="CI14" s="125"/>
      <c r="CJ14" s="227">
        <v>175</v>
      </c>
      <c r="CK14" s="228">
        <v>13.12</v>
      </c>
      <c r="CL14" s="229">
        <f>IF(($CL$12&gt;=CJ14)*AND($CL$12&lt;CJ15),(((($CL$12-CJ14)/(CJ15-CJ14))*(CK15-CK14))+CK14),0)</f>
        <v>0</v>
      </c>
      <c r="CM14" s="223"/>
      <c r="CN14" s="125"/>
      <c r="CO14" s="227">
        <v>175</v>
      </c>
      <c r="CP14" s="228">
        <v>0.70899999999999996</v>
      </c>
      <c r="CQ14" s="226">
        <f>IF(($CQ$12&gt;=CO14)*AND($CQ$12&lt;CO15),(((($CQ$12-CO14)/(CO15-CO14))*(CP15-CP14))+CP14),0)</f>
        <v>0</v>
      </c>
      <c r="CR14" s="223"/>
      <c r="CT14" s="153">
        <v>175</v>
      </c>
      <c r="CU14" s="241">
        <v>1.0389999999999999</v>
      </c>
      <c r="CV14" s="226">
        <f>IF(($CV$12&gt;=CT14)*AND($CV$12&lt;CT15),(((($CV$12-CT14)/(CT15-CT14))*(CU15-CU14))+CU14),0)</f>
        <v>0</v>
      </c>
      <c r="CW14" s="223"/>
      <c r="CY14" s="224">
        <v>175</v>
      </c>
      <c r="CZ14" s="225">
        <v>1.85</v>
      </c>
      <c r="DA14" s="226">
        <f>IF(($DA$12&gt;=CY14)*AND($DA$12&lt;CY15),(((($DA$12-CY14)/(CY15-CY14))*(CZ15-CZ14))+CZ14),0)</f>
        <v>0</v>
      </c>
      <c r="DB14" s="223"/>
      <c r="DC14" s="125"/>
      <c r="DD14" s="227">
        <v>175</v>
      </c>
      <c r="DE14" s="228">
        <v>13.12</v>
      </c>
      <c r="DF14" s="229">
        <f>IF(($DF$12&gt;=DD14)*AND($DF$12&lt;DD15),(((($DF$12-DD14)/(DD15-DD14))*(DE15-DE14))+DE14),0)</f>
        <v>0</v>
      </c>
      <c r="DG14" s="223"/>
      <c r="DH14" s="125"/>
      <c r="DI14" s="227">
        <v>175</v>
      </c>
      <c r="DJ14" s="228">
        <v>0.70899999999999996</v>
      </c>
      <c r="DK14" s="226">
        <f>IF(($DK$12&gt;=DI14)*AND($DK$12&lt;DI15),(((($DK$12-DI14)/(DI15-DI14))*(DJ15-DJ14))+DJ14),0)</f>
        <v>0</v>
      </c>
      <c r="DL14" s="223"/>
      <c r="DN14" s="153">
        <v>175</v>
      </c>
      <c r="DO14" s="241">
        <v>1.0389999999999999</v>
      </c>
      <c r="DP14" s="226">
        <f>IF(($DP$12&gt;=DN14)*AND($DP$12&lt;DN15),(((($DP$12-DN14)/(DN15-DN14))*(DO15-DO14))+DO14),0)</f>
        <v>0</v>
      </c>
      <c r="DQ14" s="223"/>
      <c r="DS14" s="224">
        <v>175</v>
      </c>
      <c r="DT14" s="225">
        <v>1.85</v>
      </c>
      <c r="DU14" s="226">
        <f>IF(($DU$12&gt;=DS14)*AND($DU$12&lt;DS15),(((($DU$12-DS14)/(DS15-DS14))*(DT15-DT14))+DT14),0)</f>
        <v>0</v>
      </c>
      <c r="DV14" s="223"/>
      <c r="DW14" s="125"/>
      <c r="DX14" s="227">
        <v>175</v>
      </c>
      <c r="DY14" s="228">
        <v>13.12</v>
      </c>
      <c r="DZ14" s="229">
        <f>IF(($DZ$12&gt;=DX14)*AND($DZ$12&lt;DX15),(((($DZ$12-DX14)/(DX15-DX14))*(DY15-DY14))+DY14),0)</f>
        <v>0</v>
      </c>
      <c r="EA14" s="223"/>
      <c r="EB14" s="125"/>
      <c r="EC14" s="227">
        <v>175</v>
      </c>
      <c r="ED14" s="228">
        <v>0.70899999999999996</v>
      </c>
      <c r="EE14" s="226">
        <f>IF(($EE$12&gt;=EC14)*AND($EE$12&lt;EC15),(((($EE$12-EC14)/(EC15-EC14))*(ED15-ED14))+ED14),0)</f>
        <v>0</v>
      </c>
      <c r="EF14" s="223"/>
      <c r="EH14" s="153">
        <v>175</v>
      </c>
      <c r="EI14" s="241">
        <v>1.0389999999999999</v>
      </c>
      <c r="EJ14" s="226">
        <f>IF(($EJ$12&gt;=EH14)*AND($EJ$12&lt;EH15),(((($EJ$12-EH14)/(EH15-EH14))*(EI15-EI14))+EI14),0)</f>
        <v>0</v>
      </c>
      <c r="EK14" s="223"/>
      <c r="EM14" s="227">
        <v>175</v>
      </c>
      <c r="EN14" s="228">
        <v>0.70899999999999996</v>
      </c>
      <c r="EO14" s="226">
        <f>IF(($EO$12&gt;=EM14)*AND($EO$12&lt;EM15),(((($EO$12-EM14)/(EM15-EM14))*(EN15-EN14))+EN14),0)</f>
        <v>0</v>
      </c>
      <c r="EP14" s="223"/>
      <c r="EQ14" s="125"/>
      <c r="ER14" s="224"/>
      <c r="ES14" s="224"/>
      <c r="ET14" s="389"/>
      <c r="EU14" s="5"/>
      <c r="EV14" s="125"/>
      <c r="EW14" s="227">
        <v>175</v>
      </c>
      <c r="EX14" s="228">
        <v>0.70899999999999996</v>
      </c>
      <c r="EY14" s="226">
        <f>IF(($EY$12&gt;=EW14)*AND($EY$12&lt;EW15),(((($EY$12-EW14)/(EW15-EW14))*(EX15-EX14))+EX14),0)</f>
        <v>0</v>
      </c>
      <c r="EZ14" s="223"/>
      <c r="FA14" s="125"/>
      <c r="FB14" s="224"/>
      <c r="FC14" s="224"/>
      <c r="FD14" s="389"/>
      <c r="FE14" s="5"/>
      <c r="FG14" s="224">
        <v>175</v>
      </c>
      <c r="FH14" s="225">
        <v>1.85</v>
      </c>
      <c r="FI14" s="226">
        <f>IF(($FI$12&gt;=FG14)*AND($FI$12&lt;FG15),(((($FI$12-FG14)/(FG15-FG14))*(FH15-FH14))+FH14),0)</f>
        <v>0</v>
      </c>
      <c r="FJ14" s="223"/>
      <c r="FK14" s="125"/>
      <c r="FL14" s="227">
        <v>175</v>
      </c>
      <c r="FM14" s="228">
        <v>13.12</v>
      </c>
      <c r="FN14" s="229">
        <f>IF(($FN$12&gt;=FL14)*AND($FN$12&lt;FL15),(((($FN$12-FL14)/(FL15-FL14))*(FM15-FM14))+FM14),0)</f>
        <v>0</v>
      </c>
      <c r="FO14" s="223"/>
      <c r="FP14" s="125"/>
      <c r="FQ14" s="227">
        <v>175</v>
      </c>
      <c r="FR14" s="228">
        <v>0.70899999999999996</v>
      </c>
      <c r="FS14" s="226">
        <f>IF(($FS$12&gt;=FQ14)*AND($FS$12&lt;FQ15),(((($FS$12-FQ14)/(FQ15-FQ14))*(FR15-FR14))+FR14),0)</f>
        <v>0</v>
      </c>
      <c r="FT14" s="223"/>
      <c r="FV14" s="153">
        <v>175</v>
      </c>
      <c r="FW14" s="241">
        <v>1.0389999999999999</v>
      </c>
      <c r="FX14" s="226">
        <f>IF(($FX$12&gt;=FV14)*AND($FX$12&lt;FV15),(((($FX$12-FV14)/(FV15-FV14))*(FW15-FW14))+FW14),0)</f>
        <v>0</v>
      </c>
      <c r="FY14" s="223"/>
      <c r="GA14" s="224">
        <v>175</v>
      </c>
      <c r="GB14" s="225">
        <v>1.85</v>
      </c>
      <c r="GC14" s="226">
        <f>IF(($GC$12&gt;=GA14)*AND($GC$12&lt;GA15),(((($GC$12-GA14)/(GA15-GA14))*(GB15-GB14))+GB14),0)</f>
        <v>0</v>
      </c>
      <c r="GD14" s="223"/>
      <c r="GE14" s="125"/>
      <c r="GF14" s="227">
        <v>175</v>
      </c>
      <c r="GG14" s="228">
        <v>13.12</v>
      </c>
      <c r="GH14" s="229">
        <f>IF(($GH$12&gt;=GF14)*AND($GH$12&lt;GF15),(((($GH$12-GF14)/(GF15-GF14))*(GG15-GG14))+GG14),0)</f>
        <v>0</v>
      </c>
      <c r="GI14" s="223"/>
      <c r="GJ14" s="125"/>
      <c r="GK14" s="227">
        <v>175</v>
      </c>
      <c r="GL14" s="228">
        <v>0.70899999999999996</v>
      </c>
      <c r="GM14" s="226">
        <f>IF(($GM$12&gt;=GK14)*AND($GM$12&lt;GK15),(((($GM$12-GK14)/(GK15-GK14))*(GL15-GL14))+GL14),0)</f>
        <v>0</v>
      </c>
      <c r="GN14" s="223"/>
      <c r="GP14" s="153">
        <v>175</v>
      </c>
      <c r="GQ14" s="241">
        <v>1.0389999999999999</v>
      </c>
      <c r="GR14" s="226">
        <f>IF(($GR$12&gt;=GP14)*AND($GR$12&lt;GP15),(((($GR$12-GP14)/(GP15-GP14))*(GQ15-GQ14))+GQ14),0)</f>
        <v>0</v>
      </c>
      <c r="GS14" s="223"/>
      <c r="GU14" s="224">
        <v>175</v>
      </c>
      <c r="GV14" s="225">
        <v>1.85</v>
      </c>
      <c r="GW14" s="226">
        <f>IF((GW$12&gt;=GU14)*AND(GW$12&lt;GU15),((((GW$12-GU14)/(GU15-GU14))*(GV15-GV14))+GV14),0)</f>
        <v>0</v>
      </c>
      <c r="GX14" s="223"/>
      <c r="GY14" s="125"/>
      <c r="GZ14" s="227">
        <v>175</v>
      </c>
      <c r="HA14" s="228">
        <v>13.12</v>
      </c>
      <c r="HB14" s="229">
        <f>IF((HB$12&gt;=GZ14)*AND(HB$12&lt;GZ15),((((HB$12-GZ14)/(GZ15-GZ14))*(HA15-HA14))+HA14),0)</f>
        <v>0</v>
      </c>
      <c r="HC14" s="223"/>
      <c r="HD14" s="125"/>
      <c r="HE14" s="227">
        <v>175</v>
      </c>
      <c r="HF14" s="228">
        <v>0.70899999999999996</v>
      </c>
      <c r="HG14" s="226">
        <f>IF((HG$12&gt;=HE14)*AND(HG$12&lt;HE15),((((HG$12-HE14)/(HE15-HE14))*(HF15-HF14))+HF14),0)</f>
        <v>0</v>
      </c>
      <c r="HH14" s="223"/>
      <c r="HI14" s="5"/>
      <c r="HJ14" s="153">
        <v>200</v>
      </c>
      <c r="HK14" s="241">
        <v>2.0870000000000002</v>
      </c>
      <c r="HL14" s="226">
        <f>IF((HL$12&gt;=HJ14)*AND(HL$12&lt;HJ15),((((HL$12-HJ14)/(HJ15-HJ14))*(HK15-HK14))+HK14),0)</f>
        <v>0</v>
      </c>
      <c r="HM14" s="223"/>
      <c r="HO14" s="224">
        <v>175</v>
      </c>
      <c r="HP14" s="225">
        <v>1.85</v>
      </c>
      <c r="HQ14" s="226">
        <f>IF((HQ$12&gt;=HO14)*AND(HQ$12&lt;HO15),((((HQ$12-HO14)/(HO15-HO14))*(HP15-HP14))+HP14),0)</f>
        <v>0</v>
      </c>
      <c r="HR14" s="223"/>
      <c r="HS14" s="125"/>
      <c r="HT14" s="227">
        <v>175</v>
      </c>
      <c r="HU14" s="228">
        <v>13.12</v>
      </c>
      <c r="HV14" s="229">
        <f>IF((HV$12&gt;=HT14)*AND(HV$12&lt;HT15),((((HV$12-HT14)/(HT15-HT14))*(HU15-HU14))+HU14),0)</f>
        <v>0</v>
      </c>
      <c r="HW14" s="223"/>
      <c r="HX14" s="125"/>
      <c r="HY14" s="227">
        <v>175</v>
      </c>
      <c r="HZ14" s="228">
        <v>0.70899999999999996</v>
      </c>
      <c r="IA14" s="226">
        <f>IF((IA$12&gt;=HY14)*AND(IA$12&lt;HY15),((((IA$12-HY14)/(HY15-HY14))*(HZ15-HZ14))+HZ14),0)</f>
        <v>0</v>
      </c>
      <c r="IB14" s="223"/>
      <c r="IC14" s="5"/>
      <c r="ID14" s="153">
        <v>200</v>
      </c>
      <c r="IE14" s="241">
        <v>2.0870000000000002</v>
      </c>
      <c r="IF14" s="226">
        <f>IF((IF$12&gt;=ID14)*AND(IF$12&lt;ID15),((((IF$12-ID14)/(ID15-ID14))*(IE15-IE14))+IE14),0)</f>
        <v>0</v>
      </c>
      <c r="IG14" s="223"/>
      <c r="II14" s="224">
        <v>175</v>
      </c>
      <c r="IJ14" s="225">
        <v>1.85</v>
      </c>
      <c r="IK14" s="226">
        <f>IF((IK$12&gt;=II14)*AND(IK$12&lt;II15),((((IK$12-II14)/(II15-II14))*(IJ15-IJ14))+IJ14),0)</f>
        <v>0</v>
      </c>
      <c r="IL14" s="223"/>
      <c r="IM14" s="125"/>
      <c r="IN14" s="227">
        <v>175</v>
      </c>
      <c r="IO14" s="228">
        <v>13.12</v>
      </c>
      <c r="IP14" s="229">
        <f>IF((IP$12&gt;=IN14)*AND(IP$12&lt;IN15),((((IP$12-IN14)/(IN15-IN14))*(IO15-IO14))+IO14),0)</f>
        <v>0</v>
      </c>
      <c r="IQ14" s="223"/>
      <c r="IR14" s="125"/>
      <c r="IS14" s="227">
        <v>175</v>
      </c>
      <c r="IT14" s="228">
        <v>0.70899999999999996</v>
      </c>
      <c r="IU14" s="226">
        <f>IF((IU$12&gt;=IS14)*AND(IU$12&lt;IS15),((((IU$12-IS14)/(IS15-IS14))*(IT15-IT14))+IT14),0)</f>
        <v>0</v>
      </c>
      <c r="IV14" s="223"/>
      <c r="IW14" s="5"/>
      <c r="IX14" s="153">
        <v>200</v>
      </c>
      <c r="IY14" s="241">
        <v>2.0870000000000002</v>
      </c>
      <c r="IZ14" s="226">
        <f>IF((IZ$12&gt;=IX14)*AND(IZ$12&lt;IX15),((((IZ$12-IX14)/(IX15-IX14))*(IY15-IY14))+IY14),0)</f>
        <v>0</v>
      </c>
      <c r="JA14" s="223"/>
      <c r="JC14" s="224">
        <v>175</v>
      </c>
      <c r="JD14" s="225">
        <v>1.85</v>
      </c>
      <c r="JE14" s="226">
        <f>IF((JE$12&gt;=JC14)*AND(JE$12&lt;JC15),((((JE$12-JC14)/(JC15-JC14))*(JD15-JD14))+JD14),0)</f>
        <v>0</v>
      </c>
      <c r="JF14" s="223"/>
      <c r="JG14" s="125"/>
      <c r="JH14" s="227">
        <v>175</v>
      </c>
      <c r="JI14" s="228">
        <v>13.12</v>
      </c>
      <c r="JJ14" s="229">
        <f>IF((JJ$12&gt;=JH14)*AND(JJ$12&lt;JH15),((((JJ$12-JH14)/(JH15-JH14))*(JI15-JI14))+JI14),0)</f>
        <v>0</v>
      </c>
      <c r="JK14" s="223"/>
      <c r="JL14" s="125"/>
      <c r="JM14" s="227">
        <v>175</v>
      </c>
      <c r="JN14" s="228">
        <v>0.70899999999999996</v>
      </c>
      <c r="JO14" s="226">
        <f>IF((JO$12&gt;=JM14)*AND(JO$12&lt;JM15),((((JO$12-JM14)/(JM15-JM14))*(JN15-JN14))+JN14),0)</f>
        <v>0</v>
      </c>
      <c r="JP14" s="223"/>
      <c r="JQ14" s="5"/>
      <c r="JR14" s="153">
        <v>200</v>
      </c>
      <c r="JS14" s="241">
        <v>2.0870000000000002</v>
      </c>
      <c r="JT14" s="226">
        <f>IF((JT$12&gt;=JR14)*AND(JT$12&lt;JR15),((((JT$12-JR14)/(JR15-JR14))*(JS15-JS14))+JS14),0)</f>
        <v>0</v>
      </c>
      <c r="JU14" s="223"/>
      <c r="JW14" s="224">
        <v>175</v>
      </c>
      <c r="JX14" s="225">
        <v>1.85</v>
      </c>
      <c r="JY14" s="226">
        <f t="shared" ref="JY14:JY46" si="0">IF((JY$12&gt;=JW14)*AND(JY$12&lt;JW15),((((JY$12-JW14)/(JW15-JW14))*(JX15-JX14))+JX14),0)</f>
        <v>0</v>
      </c>
      <c r="JZ14" s="223"/>
      <c r="KA14" s="125"/>
      <c r="KB14" s="227">
        <v>175</v>
      </c>
      <c r="KC14" s="228">
        <v>13.12</v>
      </c>
      <c r="KD14" s="229">
        <f t="shared" ref="KD14:KD46" si="1">IF((KD$12&gt;=KB14)*AND(KD$12&lt;KB15),((((KD$12-KB14)/(KB15-KB14))*(KC15-KC14))+KC14),0)</f>
        <v>0</v>
      </c>
      <c r="KE14" s="223"/>
      <c r="KF14" s="125"/>
      <c r="KG14" s="227">
        <v>175</v>
      </c>
      <c r="KH14" s="228">
        <v>0.70899999999999996</v>
      </c>
      <c r="KI14" s="226">
        <f t="shared" ref="KI14:KI46" si="2">IF((KI$12&gt;=KG14)*AND(KI$12&lt;KG15),((((KI$12-KG14)/(KG15-KG14))*(KH15-KH14))+KH14),0)</f>
        <v>0</v>
      </c>
      <c r="KJ14" s="223"/>
      <c r="KK14" s="5"/>
      <c r="KL14" s="153">
        <v>200</v>
      </c>
      <c r="KM14" s="241">
        <v>2.0870000000000002</v>
      </c>
      <c r="KN14" s="226">
        <f t="shared" ref="KN14:KN36" si="3">IF((KN$12&gt;=KL14)*AND(KN$12&lt;KL15),((((KN$12-KL14)/(KL15-KL14))*(KM15-KM14))+KM14),0)</f>
        <v>0</v>
      </c>
      <c r="KO14" s="223"/>
      <c r="KQ14" s="224">
        <v>175</v>
      </c>
      <c r="KR14" s="225">
        <v>1.85</v>
      </c>
      <c r="KS14" s="226">
        <f t="shared" ref="KS14:KS46" si="4">IF((KS$12&gt;=KQ14)*AND(KS$12&lt;KQ15),((((KS$12-KQ14)/(KQ15-KQ14))*(KR15-KR14))+KR14),0)</f>
        <v>0</v>
      </c>
      <c r="KT14" s="223"/>
      <c r="KU14" s="125"/>
      <c r="KV14" s="227">
        <v>175</v>
      </c>
      <c r="KW14" s="228">
        <v>13.12</v>
      </c>
      <c r="KX14" s="229">
        <f t="shared" ref="KX14:KX46" si="5">IF((KX$12&gt;=KV14)*AND(KX$12&lt;KV15),((((KX$12-KV14)/(KV15-KV14))*(KW15-KW14))+KW14),0)</f>
        <v>0</v>
      </c>
      <c r="KY14" s="223"/>
      <c r="KZ14" s="125"/>
      <c r="LA14" s="227">
        <v>175</v>
      </c>
      <c r="LB14" s="228">
        <v>0.70899999999999996</v>
      </c>
      <c r="LC14" s="226">
        <f t="shared" ref="LC14:LC46" si="6">IF((LC$12&gt;=LA14)*AND(LC$12&lt;LA15),((((LC$12-LA14)/(LA15-LA14))*(LB15-LB14))+LB14),0)</f>
        <v>0</v>
      </c>
      <c r="LD14" s="223"/>
      <c r="LE14" s="5"/>
      <c r="LF14" s="153">
        <v>200</v>
      </c>
      <c r="LG14" s="241">
        <v>2.0870000000000002</v>
      </c>
      <c r="LH14" s="226">
        <f t="shared" ref="LH14:LH36" si="7">IF((LH$12&gt;=LF14)*AND(LH$12&lt;LF15),((((LH$12-LF14)/(LF15-LF14))*(LG15-LG14))+LG14),0)</f>
        <v>0</v>
      </c>
      <c r="LI14" s="223"/>
      <c r="LK14" s="224">
        <v>175</v>
      </c>
      <c r="LL14" s="225">
        <v>1.85</v>
      </c>
      <c r="LM14" s="226" t="e">
        <f t="shared" ref="LM14:LM46" si="8">IF((LM$12&gt;=LK14)*AND(LM$12&lt;LK15),((((LM$12-LK14)/(LK15-LK14))*(LL15-LL14))+LL14),0)</f>
        <v>#REF!</v>
      </c>
      <c r="LN14" s="223"/>
      <c r="LO14" s="125"/>
      <c r="LP14" s="227">
        <v>175</v>
      </c>
      <c r="LQ14" s="228">
        <v>13.12</v>
      </c>
      <c r="LR14" s="229" t="e">
        <f t="shared" ref="LR14:LR46" si="9">IF((LR$12&gt;=LP14)*AND(LR$12&lt;LP15),((((LR$12-LP14)/(LP15-LP14))*(LQ15-LQ14))+LQ14),0)</f>
        <v>#REF!</v>
      </c>
      <c r="LS14" s="223"/>
      <c r="LT14" s="125"/>
      <c r="LU14" s="227">
        <v>175</v>
      </c>
      <c r="LV14" s="228">
        <v>0.70899999999999996</v>
      </c>
      <c r="LW14" s="226" t="e">
        <f t="shared" ref="LW14:LW46" si="10">IF((LW$12&gt;=LU14)*AND(LW$12&lt;LU15),((((LW$12-LU14)/(LU15-LU14))*(LV15-LV14))+LV14),0)</f>
        <v>#REF!</v>
      </c>
      <c r="LX14" s="223"/>
      <c r="LY14" s="5"/>
      <c r="LZ14" s="153">
        <v>200</v>
      </c>
      <c r="MA14" s="241">
        <v>2.0870000000000002</v>
      </c>
      <c r="MB14" s="226" t="e">
        <f t="shared" ref="MB14:MB36" si="11">IF((MB$12&gt;=LZ14)*AND(MB$12&lt;LZ15),((((MB$12-LZ14)/(LZ15-LZ14))*(MA15-MA14))+MA14),0)</f>
        <v>#REF!</v>
      </c>
      <c r="MC14" s="223"/>
    </row>
    <row r="15" spans="2:341" ht="16" thickBot="1" x14ac:dyDescent="0.25">
      <c r="B15" s="125"/>
      <c r="C15" s="224">
        <v>200</v>
      </c>
      <c r="D15" s="225">
        <v>1.851</v>
      </c>
      <c r="E15" s="226">
        <f t="shared" ref="E15:E46" si="12">IF(($E$12&gt;=C15)*AND($E$12&lt;C16),(((($E$12-C15)/(C16-C15))*(D16-D15))+D15),0)</f>
        <v>0</v>
      </c>
      <c r="F15" s="223"/>
      <c r="G15" s="125"/>
      <c r="H15" s="230">
        <v>200</v>
      </c>
      <c r="I15" s="231">
        <v>13.53</v>
      </c>
      <c r="J15" s="229">
        <f t="shared" ref="J15:J46" si="13">IF(($J$12&gt;=H15)*AND($J$12&lt;H16),(((($J$12-H15)/(H16-H15))*(I16-I15))+I15),0)</f>
        <v>0</v>
      </c>
      <c r="K15" s="223"/>
      <c r="L15" s="125"/>
      <c r="M15" s="230">
        <v>200</v>
      </c>
      <c r="N15" s="231">
        <v>0.73499999999999999</v>
      </c>
      <c r="O15" s="226">
        <f t="shared" ref="O15:O46" si="14">IF(($O$12&gt;=M15)*AND($O$12&lt;M16),(((($O$12-M15)/(M16-M15))*(N16-N15))+N15),0)</f>
        <v>0</v>
      </c>
      <c r="P15" s="223"/>
      <c r="Q15" s="5"/>
      <c r="R15" s="155">
        <v>225</v>
      </c>
      <c r="S15" s="242">
        <v>2.121</v>
      </c>
      <c r="T15" s="226">
        <f t="shared" ref="T15:T36" si="15">IF(($T$12&gt;=R15)*AND($T$12&lt;R16),(((($T$12-R15)/(R16-R15))*(S16-S15))+S15),0)</f>
        <v>0</v>
      </c>
      <c r="U15" s="223"/>
      <c r="V15" s="5"/>
      <c r="W15" s="224">
        <v>200</v>
      </c>
      <c r="X15" s="225">
        <v>1.851</v>
      </c>
      <c r="Y15" s="226">
        <f t="shared" ref="Y15:Y46" si="16">IF(($Y$12&gt;=W15)*AND($Y$12&lt;W16),(((($Y$12-W15)/(W16-W15))*(X16-X15))+X15),0)</f>
        <v>0</v>
      </c>
      <c r="Z15" s="223"/>
      <c r="AA15" s="125"/>
      <c r="AB15" s="230">
        <v>200</v>
      </c>
      <c r="AC15" s="231">
        <v>13.53</v>
      </c>
      <c r="AD15" s="229">
        <f t="shared" ref="AD15:AD46" si="17">IF(($AD$12&gt;=AB15)*AND($AD$12&lt;AB16),(((($AD$12-AB15)/(AB16-AB15))*(AC16-AC15))+AC15),0)</f>
        <v>0</v>
      </c>
      <c r="AE15" s="223"/>
      <c r="AF15" s="125"/>
      <c r="AG15" s="230">
        <v>200</v>
      </c>
      <c r="AH15" s="231">
        <v>0.73499999999999999</v>
      </c>
      <c r="AI15" s="226">
        <f t="shared" ref="AI15:AI46" si="18">IF(($AI$12&gt;=AG15)*AND($AI$12&lt;AG16),(((($AI$12-AG15)/(AG16-AG15))*(AH16-AH15))+AH15),0)</f>
        <v>0</v>
      </c>
      <c r="AJ15" s="223"/>
      <c r="AK15" s="5"/>
      <c r="AL15" s="155">
        <v>200</v>
      </c>
      <c r="AM15" s="242">
        <v>1.0389999999999999</v>
      </c>
      <c r="AN15" s="226">
        <f t="shared" ref="AN15:AN46" si="19">IF(($AN$12&gt;=AL15)*AND($AN$12&lt;AL16),(((($AN$12-AL15)/(AL16-AL15))*(AM16-AM15))+AM15),0)</f>
        <v>0</v>
      </c>
      <c r="AO15" s="223"/>
      <c r="AQ15" s="224">
        <v>200</v>
      </c>
      <c r="AR15" s="225">
        <v>1.851</v>
      </c>
      <c r="AS15" s="226">
        <f t="shared" ref="AS15:AS46" si="20">IF(($AS$12&gt;=AQ15)*AND($AS$12&lt;AQ16),(((($AS$12-AQ15)/(AQ16-AQ15))*(AR16-AR15))+AR15),0)</f>
        <v>0</v>
      </c>
      <c r="AT15" s="223"/>
      <c r="AU15" s="125"/>
      <c r="AV15" s="230">
        <v>200</v>
      </c>
      <c r="AW15" s="231">
        <v>13.53</v>
      </c>
      <c r="AX15" s="229">
        <f t="shared" ref="AX15:AX46" si="21">IF(($AX$12&gt;=AV15)*AND($AX$12&lt;AV16),(((($AX$12-AV15)/(AV16-AV15))*(AW16-AW15))+AW15),0)</f>
        <v>0</v>
      </c>
      <c r="AY15" s="223"/>
      <c r="AZ15" s="125"/>
      <c r="BA15" s="230">
        <v>200</v>
      </c>
      <c r="BB15" s="231">
        <v>0.73499999999999999</v>
      </c>
      <c r="BC15" s="226">
        <f t="shared" ref="BC15:BC46" si="22">IF(($BC$12&gt;=BA15)*AND($BC$12&lt;BA16),(((($BC$12-BA15)/(BA16-BA15))*(BB16-BB15))+BB15),0)</f>
        <v>0</v>
      </c>
      <c r="BD15" s="223"/>
      <c r="BE15" s="5"/>
      <c r="BF15" s="230">
        <v>225</v>
      </c>
      <c r="BG15" s="233">
        <v>2.121</v>
      </c>
      <c r="BH15" s="226">
        <f t="shared" ref="BH15:BH36" si="23">IF(($BH$12&gt;=BF15)*AND($BH$12&lt;BF16),(((($BH$12-BF15)/(BF16-BF15))*(BG16-BG15))+BG15),0)</f>
        <v>0</v>
      </c>
      <c r="BI15" s="223"/>
      <c r="BK15" s="224">
        <v>200</v>
      </c>
      <c r="BL15" s="225">
        <v>1.851</v>
      </c>
      <c r="BM15" s="226">
        <f t="shared" ref="BM15:BM46" si="24">IF(($BM$12&gt;=BK15)*AND($BM$12&lt;BK16),(((($BM$12-BK15)/(BK16-BK15))*(BL16-BL15))+BL15),0)</f>
        <v>0</v>
      </c>
      <c r="BN15" s="223"/>
      <c r="BO15" s="125"/>
      <c r="BP15" s="230">
        <v>200</v>
      </c>
      <c r="BQ15" s="231">
        <v>13.53</v>
      </c>
      <c r="BR15" s="229">
        <f t="shared" ref="BR15:BR46" si="25">IF(($BR$12&gt;=BP15)*AND($BR$12&lt;BP16),(((($BR$12-BP15)/(BP16-BP15))*(BQ16-BQ15))+BQ15),0)</f>
        <v>0</v>
      </c>
      <c r="BS15" s="223"/>
      <c r="BT15" s="125"/>
      <c r="BU15" s="230">
        <v>200</v>
      </c>
      <c r="BV15" s="231">
        <v>0.73499999999999999</v>
      </c>
      <c r="BW15" s="226">
        <f t="shared" ref="BW15:BW46" si="26">IF(($BW$12&gt;=BU15)*AND($BW$12&lt;BU16),(((($BW$12-BU15)/(BU16-BU15))*(BV16-BV15))+BV15),0)</f>
        <v>0</v>
      </c>
      <c r="BX15" s="223"/>
      <c r="BY15" s="5"/>
      <c r="BZ15" s="155">
        <v>200</v>
      </c>
      <c r="CA15" s="242">
        <v>1.0389999999999999</v>
      </c>
      <c r="CB15" s="226">
        <f t="shared" ref="CB15:CB46" si="27">IF(($CB$12&gt;=BZ15)*AND($CB$12&lt;BZ16),(((($CB$12-BZ15)/(BZ16-BZ15))*(CA16-CA15))+CA15),0)</f>
        <v>0</v>
      </c>
      <c r="CC15" s="223"/>
      <c r="CE15" s="224">
        <v>200</v>
      </c>
      <c r="CF15" s="225">
        <v>1.851</v>
      </c>
      <c r="CG15" s="226">
        <f t="shared" ref="CG15:CG46" si="28">IF(($CG$12&gt;=CE15)*AND($CG$12&lt;CE16),(((($CG$12-CE15)/(CE16-CE15))*(CF16-CF15))+CF15),0)</f>
        <v>0</v>
      </c>
      <c r="CH15" s="223"/>
      <c r="CI15" s="125"/>
      <c r="CJ15" s="230">
        <v>200</v>
      </c>
      <c r="CK15" s="231">
        <v>13.53</v>
      </c>
      <c r="CL15" s="229">
        <f t="shared" ref="CL15:CL46" si="29">IF(($CL$12&gt;=CJ15)*AND($CL$12&lt;CJ16),(((($CL$12-CJ15)/(CJ16-CJ15))*(CK16-CK15))+CK15),0)</f>
        <v>0</v>
      </c>
      <c r="CM15" s="223"/>
      <c r="CN15" s="125"/>
      <c r="CO15" s="230">
        <v>200</v>
      </c>
      <c r="CP15" s="231">
        <v>0.73499999999999999</v>
      </c>
      <c r="CQ15" s="226">
        <f t="shared" ref="CQ15:CQ46" si="30">IF(($CQ$12&gt;=CO15)*AND($CQ$12&lt;CO16),(((($CQ$12-CO15)/(CO16-CO15))*(CP16-CP15))+CP15),0)</f>
        <v>0</v>
      </c>
      <c r="CR15" s="223"/>
      <c r="CT15" s="155">
        <v>200</v>
      </c>
      <c r="CU15" s="242">
        <v>1.0389999999999999</v>
      </c>
      <c r="CV15" s="226">
        <f t="shared" ref="CV15:CV46" si="31">IF(($CV$12&gt;=CT15)*AND($CV$12&lt;CT16),(((($CV$12-CT15)/(CT16-CT15))*(CU16-CU15))+CU15),0)</f>
        <v>0</v>
      </c>
      <c r="CW15" s="223"/>
      <c r="CY15" s="224">
        <v>200</v>
      </c>
      <c r="CZ15" s="225">
        <v>1.851</v>
      </c>
      <c r="DA15" s="226">
        <f t="shared" ref="DA15:DA46" si="32">IF(($DA$12&gt;=CY15)*AND($DA$12&lt;CY16),(((($DA$12-CY15)/(CY16-CY15))*(CZ16-CZ15))+CZ15),0)</f>
        <v>0</v>
      </c>
      <c r="DB15" s="223"/>
      <c r="DC15" s="125"/>
      <c r="DD15" s="230">
        <v>200</v>
      </c>
      <c r="DE15" s="231">
        <v>13.53</v>
      </c>
      <c r="DF15" s="229">
        <f t="shared" ref="DF15:DF46" si="33">IF(($DF$12&gt;=DD15)*AND($DF$12&lt;DD16),(((($DF$12-DD15)/(DD16-DD15))*(DE16-DE15))+DE15),0)</f>
        <v>0</v>
      </c>
      <c r="DG15" s="223"/>
      <c r="DH15" s="125"/>
      <c r="DI15" s="230">
        <v>200</v>
      </c>
      <c r="DJ15" s="231">
        <v>0.73499999999999999</v>
      </c>
      <c r="DK15" s="226">
        <f t="shared" ref="DK15:DK46" si="34">IF(($DK$12&gt;=DI15)*AND($DK$12&lt;DI16),(((($DK$12-DI15)/(DI16-DI15))*(DJ16-DJ15))+DJ15),0)</f>
        <v>0</v>
      </c>
      <c r="DL15" s="223"/>
      <c r="DN15" s="155">
        <v>200</v>
      </c>
      <c r="DO15" s="242">
        <v>1.0389999999999999</v>
      </c>
      <c r="DP15" s="226">
        <f t="shared" ref="DP15:DP46" si="35">IF(($DP$12&gt;=DN15)*AND($DP$12&lt;DN16),(((($DP$12-DN15)/(DN16-DN15))*(DO16-DO15))+DO15),0)</f>
        <v>0</v>
      </c>
      <c r="DQ15" s="223"/>
      <c r="DS15" s="224">
        <v>200</v>
      </c>
      <c r="DT15" s="225">
        <v>1.851</v>
      </c>
      <c r="DU15" s="226">
        <f t="shared" ref="DU15:DU46" si="36">IF(($DU$12&gt;=DS15)*AND($DU$12&lt;DS16),(((($DU$12-DS15)/(DS16-DS15))*(DT16-DT15))+DT15),0)</f>
        <v>0</v>
      </c>
      <c r="DV15" s="223"/>
      <c r="DW15" s="125"/>
      <c r="DX15" s="230">
        <v>200</v>
      </c>
      <c r="DY15" s="231">
        <v>13.53</v>
      </c>
      <c r="DZ15" s="229">
        <f t="shared" ref="DZ15:DZ46" si="37">IF(($DZ$12&gt;=DX15)*AND($DZ$12&lt;DX16),(((($DZ$12-DX15)/(DX16-DX15))*(DY16-DY15))+DY15),0)</f>
        <v>0</v>
      </c>
      <c r="EA15" s="223"/>
      <c r="EB15" s="125"/>
      <c r="EC15" s="230">
        <v>200</v>
      </c>
      <c r="ED15" s="231">
        <v>0.73499999999999999</v>
      </c>
      <c r="EE15" s="226">
        <f t="shared" ref="EE15:EE46" si="38">IF(($EE$12&gt;=EC15)*AND($EE$12&lt;EC16),(((($EE$12-EC15)/(EC16-EC15))*(ED16-ED15))+ED15),0)</f>
        <v>0</v>
      </c>
      <c r="EF15" s="223"/>
      <c r="EH15" s="155">
        <v>200</v>
      </c>
      <c r="EI15" s="242">
        <v>1.0389999999999999</v>
      </c>
      <c r="EJ15" s="226">
        <f t="shared" ref="EJ15:EJ46" si="39">IF(($EJ$12&gt;=EH15)*AND($EJ$12&lt;EH16),(((($EJ$12-EH15)/(EH16-EH15))*(EI16-EI15))+EI15),0)</f>
        <v>0</v>
      </c>
      <c r="EK15" s="223"/>
      <c r="EM15" s="230">
        <v>200</v>
      </c>
      <c r="EN15" s="231">
        <v>0.73499999999999999</v>
      </c>
      <c r="EO15" s="226">
        <f t="shared" ref="EO15:EO46" si="40">IF(($EO$12&gt;=EM15)*AND($EO$12&lt;EM16),(((($EO$12-EM15)/(EM16-EM15))*(EN16-EN15))+EN15),0)</f>
        <v>0</v>
      </c>
      <c r="EP15" s="223"/>
      <c r="EQ15" s="125"/>
      <c r="ER15" s="224"/>
      <c r="ES15" s="224"/>
      <c r="ET15" s="389"/>
      <c r="EU15" s="5"/>
      <c r="EV15" s="125"/>
      <c r="EW15" s="230">
        <v>200</v>
      </c>
      <c r="EX15" s="231">
        <v>0.73499999999999999</v>
      </c>
      <c r="EY15" s="226">
        <f t="shared" ref="EY15:EY46" si="41">IF(($EY$12&gt;=EW15)*AND($EY$12&lt;EW16),(((($EY$12-EW15)/(EW16-EW15))*(EX16-EX15))+EX15),0)</f>
        <v>0</v>
      </c>
      <c r="EZ15" s="223"/>
      <c r="FA15" s="125"/>
      <c r="FB15" s="224"/>
      <c r="FC15" s="224"/>
      <c r="FD15" s="389"/>
      <c r="FE15" s="5"/>
      <c r="FG15" s="224">
        <v>200</v>
      </c>
      <c r="FH15" s="225">
        <v>1.851</v>
      </c>
      <c r="FI15" s="226">
        <f t="shared" ref="FI15:FI46" si="42">IF(($FI$12&gt;=FG15)*AND($FI$12&lt;FG16),(((($FI$12-FG15)/(FG16-FG15))*(FH16-FH15))+FH15),0)</f>
        <v>0</v>
      </c>
      <c r="FJ15" s="223"/>
      <c r="FK15" s="125"/>
      <c r="FL15" s="230">
        <v>200</v>
      </c>
      <c r="FM15" s="231">
        <v>13.53</v>
      </c>
      <c r="FN15" s="229">
        <f t="shared" ref="FN15:FN46" si="43">IF(($FN$12&gt;=FL15)*AND($FN$12&lt;FL16),(((($FN$12-FL15)/(FL16-FL15))*(FM16-FM15))+FM15),0)</f>
        <v>0</v>
      </c>
      <c r="FO15" s="223"/>
      <c r="FP15" s="125"/>
      <c r="FQ15" s="230">
        <v>200</v>
      </c>
      <c r="FR15" s="231">
        <v>0.73499999999999999</v>
      </c>
      <c r="FS15" s="226">
        <f t="shared" ref="FS15:FS46" si="44">IF(($FS$12&gt;=FQ15)*AND($FS$12&lt;FQ16),(((($FS$12-FQ15)/(FQ16-FQ15))*(FR16-FR15))+FR15),0)</f>
        <v>0</v>
      </c>
      <c r="FT15" s="223"/>
      <c r="FV15" s="155">
        <v>200</v>
      </c>
      <c r="FW15" s="242">
        <v>1.0389999999999999</v>
      </c>
      <c r="FX15" s="226">
        <f t="shared" ref="FX15:FX46" si="45">IF(($FX$12&gt;=FV15)*AND($FX$12&lt;FV16),(((($FX$12-FV15)/(FV16-FV15))*(FW16-FW15))+FW15),0)</f>
        <v>0</v>
      </c>
      <c r="FY15" s="223"/>
      <c r="GA15" s="224">
        <v>200</v>
      </c>
      <c r="GB15" s="225">
        <v>1.851</v>
      </c>
      <c r="GC15" s="226">
        <f t="shared" ref="GC15:GC46" si="46">IF(($GC$12&gt;=GA15)*AND($GC$12&lt;GA16),(((($GC$12-GA15)/(GA16-GA15))*(GB16-GB15))+GB15),0)</f>
        <v>0</v>
      </c>
      <c r="GD15" s="223"/>
      <c r="GE15" s="125"/>
      <c r="GF15" s="230">
        <v>200</v>
      </c>
      <c r="GG15" s="231">
        <v>13.53</v>
      </c>
      <c r="GH15" s="229">
        <f t="shared" ref="GH15:GH46" si="47">IF(($GH$12&gt;=GF15)*AND($GH$12&lt;GF16),(((($GH$12-GF15)/(GF16-GF15))*(GG16-GG15))+GG15),0)</f>
        <v>0</v>
      </c>
      <c r="GI15" s="223"/>
      <c r="GJ15" s="125"/>
      <c r="GK15" s="230">
        <v>200</v>
      </c>
      <c r="GL15" s="231">
        <v>0.73499999999999999</v>
      </c>
      <c r="GM15" s="226">
        <f t="shared" ref="GM15:GM46" si="48">IF(($GM$12&gt;=GK15)*AND($GM$12&lt;GK16),(((($GM$12-GK15)/(GK16-GK15))*(GL16-GL15))+GL15),0)</f>
        <v>0</v>
      </c>
      <c r="GN15" s="223"/>
      <c r="GP15" s="155">
        <v>200</v>
      </c>
      <c r="GQ15" s="242">
        <v>1.0389999999999999</v>
      </c>
      <c r="GR15" s="226">
        <f t="shared" ref="GR15:GR46" si="49">IF(($GR$12&gt;=GP15)*AND($GR$12&lt;GP16),(((($GR$12-GP15)/(GP16-GP15))*(GQ16-GQ15))+GQ15),0)</f>
        <v>0</v>
      </c>
      <c r="GS15" s="223"/>
      <c r="GU15" s="224">
        <v>200</v>
      </c>
      <c r="GV15" s="225">
        <v>1.851</v>
      </c>
      <c r="GW15" s="226">
        <f t="shared" ref="GW15:GW46" si="50">IF((GW$12&gt;=GU15)*AND(GW$12&lt;GU16),((((GW$12-GU15)/(GU16-GU15))*(GV16-GV15))+GV15),0)</f>
        <v>0</v>
      </c>
      <c r="GX15" s="223"/>
      <c r="GY15" s="125"/>
      <c r="GZ15" s="230">
        <v>200</v>
      </c>
      <c r="HA15" s="231">
        <v>13.53</v>
      </c>
      <c r="HB15" s="229">
        <f t="shared" ref="HB15:HB46" si="51">IF((HB$12&gt;=GZ15)*AND(HB$12&lt;GZ16),((((HB$12-GZ15)/(GZ16-GZ15))*(HA16-HA15))+HA15),0)</f>
        <v>0</v>
      </c>
      <c r="HC15" s="223"/>
      <c r="HD15" s="125"/>
      <c r="HE15" s="230">
        <v>200</v>
      </c>
      <c r="HF15" s="231">
        <v>0.73499999999999999</v>
      </c>
      <c r="HG15" s="226">
        <f t="shared" ref="HG15:HG46" si="52">IF((HG$12&gt;=HE15)*AND(HG$12&lt;HE16),((((HG$12-HE15)/(HE16-HE15))*(HF16-HF15))+HF15),0)</f>
        <v>0</v>
      </c>
      <c r="HH15" s="223"/>
      <c r="HI15" s="5"/>
      <c r="HJ15" s="155">
        <v>225</v>
      </c>
      <c r="HK15" s="242">
        <v>2.121</v>
      </c>
      <c r="HL15" s="226">
        <f t="shared" ref="HL15:HL36" si="53">IF((HL$12&gt;=HJ15)*AND(HL$12&lt;HJ16),((((HL$12-HJ15)/(HJ16-HJ15))*(HK16-HK15))+HK15),0)</f>
        <v>0</v>
      </c>
      <c r="HM15" s="223"/>
      <c r="HO15" s="224">
        <v>200</v>
      </c>
      <c r="HP15" s="225">
        <v>1.851</v>
      </c>
      <c r="HQ15" s="226">
        <f t="shared" ref="HQ15:HQ46" si="54">IF((HQ$12&gt;=HO15)*AND(HQ$12&lt;HO16),((((HQ$12-HO15)/(HO16-HO15))*(HP16-HP15))+HP15),0)</f>
        <v>0</v>
      </c>
      <c r="HR15" s="223"/>
      <c r="HS15" s="125"/>
      <c r="HT15" s="230">
        <v>200</v>
      </c>
      <c r="HU15" s="231">
        <v>13.53</v>
      </c>
      <c r="HV15" s="229">
        <f t="shared" ref="HV15:HV46" si="55">IF((HV$12&gt;=HT15)*AND(HV$12&lt;HT16),((((HV$12-HT15)/(HT16-HT15))*(HU16-HU15))+HU15),0)</f>
        <v>0</v>
      </c>
      <c r="HW15" s="223"/>
      <c r="HX15" s="125"/>
      <c r="HY15" s="230">
        <v>200</v>
      </c>
      <c r="HZ15" s="231">
        <v>0.73499999999999999</v>
      </c>
      <c r="IA15" s="226">
        <f t="shared" ref="IA15:IA46" si="56">IF((IA$12&gt;=HY15)*AND(IA$12&lt;HY16),((((IA$12-HY15)/(HY16-HY15))*(HZ16-HZ15))+HZ15),0)</f>
        <v>0</v>
      </c>
      <c r="IB15" s="223"/>
      <c r="IC15" s="5"/>
      <c r="ID15" s="155">
        <v>225</v>
      </c>
      <c r="IE15" s="242">
        <v>2.121</v>
      </c>
      <c r="IF15" s="226">
        <f t="shared" ref="IF15:IF36" si="57">IF((IF$12&gt;=ID15)*AND(IF$12&lt;ID16),((((IF$12-ID15)/(ID16-ID15))*(IE16-IE15))+IE15),0)</f>
        <v>0</v>
      </c>
      <c r="IG15" s="223"/>
      <c r="II15" s="224">
        <v>200</v>
      </c>
      <c r="IJ15" s="225">
        <v>1.851</v>
      </c>
      <c r="IK15" s="226">
        <f t="shared" ref="IK15:IK46" si="58">IF((IK$12&gt;=II15)*AND(IK$12&lt;II16),((((IK$12-II15)/(II16-II15))*(IJ16-IJ15))+IJ15),0)</f>
        <v>0</v>
      </c>
      <c r="IL15" s="223"/>
      <c r="IM15" s="125"/>
      <c r="IN15" s="230">
        <v>200</v>
      </c>
      <c r="IO15" s="231">
        <v>13.53</v>
      </c>
      <c r="IP15" s="229">
        <f t="shared" ref="IP15:IP46" si="59">IF((IP$12&gt;=IN15)*AND(IP$12&lt;IN16),((((IP$12-IN15)/(IN16-IN15))*(IO16-IO15))+IO15),0)</f>
        <v>0</v>
      </c>
      <c r="IQ15" s="223"/>
      <c r="IR15" s="125"/>
      <c r="IS15" s="230">
        <v>200</v>
      </c>
      <c r="IT15" s="231">
        <v>0.73499999999999999</v>
      </c>
      <c r="IU15" s="226">
        <f t="shared" ref="IU15:IU46" si="60">IF((IU$12&gt;=IS15)*AND(IU$12&lt;IS16),((((IU$12-IS15)/(IS16-IS15))*(IT16-IT15))+IT15),0)</f>
        <v>0</v>
      </c>
      <c r="IV15" s="223"/>
      <c r="IW15" s="5"/>
      <c r="IX15" s="155">
        <v>225</v>
      </c>
      <c r="IY15" s="242">
        <v>2.121</v>
      </c>
      <c r="IZ15" s="226">
        <f t="shared" ref="IZ15:IZ36" si="61">IF((IZ$12&gt;=IX15)*AND(IZ$12&lt;IX16),((((IZ$12-IX15)/(IX16-IX15))*(IY16-IY15))+IY15),0)</f>
        <v>0</v>
      </c>
      <c r="JA15" s="223"/>
      <c r="JC15" s="224">
        <v>200</v>
      </c>
      <c r="JD15" s="225">
        <v>1.851</v>
      </c>
      <c r="JE15" s="226">
        <f t="shared" ref="JE15:JE46" si="62">IF((JE$12&gt;=JC15)*AND(JE$12&lt;JC16),((((JE$12-JC15)/(JC16-JC15))*(JD16-JD15))+JD15),0)</f>
        <v>0</v>
      </c>
      <c r="JF15" s="223"/>
      <c r="JG15" s="125"/>
      <c r="JH15" s="230">
        <v>200</v>
      </c>
      <c r="JI15" s="231">
        <v>13.53</v>
      </c>
      <c r="JJ15" s="229">
        <f t="shared" ref="JJ15:JJ46" si="63">IF((JJ$12&gt;=JH15)*AND(JJ$12&lt;JH16),((((JJ$12-JH15)/(JH16-JH15))*(JI16-JI15))+JI15),0)</f>
        <v>0</v>
      </c>
      <c r="JK15" s="223"/>
      <c r="JL15" s="125"/>
      <c r="JM15" s="230">
        <v>200</v>
      </c>
      <c r="JN15" s="231">
        <v>0.73499999999999999</v>
      </c>
      <c r="JO15" s="226">
        <f t="shared" ref="JO15:JO46" si="64">IF((JO$12&gt;=JM15)*AND(JO$12&lt;JM16),((((JO$12-JM15)/(JM16-JM15))*(JN16-JN15))+JN15),0)</f>
        <v>0</v>
      </c>
      <c r="JP15" s="223"/>
      <c r="JQ15" s="5"/>
      <c r="JR15" s="230">
        <v>225</v>
      </c>
      <c r="JS15" s="233">
        <v>2.121</v>
      </c>
      <c r="JT15" s="226">
        <f t="shared" ref="JT15:JT36" si="65">IF((JT$12&gt;=JR15)*AND(JT$12&lt;JR16),((((JT$12-JR15)/(JR16-JR15))*(JS16-JS15))+JS15),0)</f>
        <v>0</v>
      </c>
      <c r="JU15" s="223"/>
      <c r="JW15" s="224">
        <v>200</v>
      </c>
      <c r="JX15" s="225">
        <v>1.851</v>
      </c>
      <c r="JY15" s="226">
        <f t="shared" si="0"/>
        <v>0</v>
      </c>
      <c r="JZ15" s="223"/>
      <c r="KA15" s="125"/>
      <c r="KB15" s="230">
        <v>200</v>
      </c>
      <c r="KC15" s="231">
        <v>13.53</v>
      </c>
      <c r="KD15" s="229">
        <f t="shared" si="1"/>
        <v>0</v>
      </c>
      <c r="KE15" s="223"/>
      <c r="KF15" s="125"/>
      <c r="KG15" s="230">
        <v>200</v>
      </c>
      <c r="KH15" s="231">
        <v>0.73499999999999999</v>
      </c>
      <c r="KI15" s="226">
        <f t="shared" si="2"/>
        <v>0</v>
      </c>
      <c r="KJ15" s="223"/>
      <c r="KK15" s="5"/>
      <c r="KL15" s="230">
        <v>225</v>
      </c>
      <c r="KM15" s="233">
        <v>2.121</v>
      </c>
      <c r="KN15" s="226">
        <f t="shared" si="3"/>
        <v>0</v>
      </c>
      <c r="KO15" s="223"/>
      <c r="KQ15" s="224">
        <v>200</v>
      </c>
      <c r="KR15" s="225">
        <v>1.851</v>
      </c>
      <c r="KS15" s="226">
        <f t="shared" si="4"/>
        <v>0</v>
      </c>
      <c r="KT15" s="223"/>
      <c r="KU15" s="125"/>
      <c r="KV15" s="230">
        <v>200</v>
      </c>
      <c r="KW15" s="231">
        <v>13.53</v>
      </c>
      <c r="KX15" s="229">
        <f t="shared" si="5"/>
        <v>0</v>
      </c>
      <c r="KY15" s="223"/>
      <c r="KZ15" s="125"/>
      <c r="LA15" s="230">
        <v>200</v>
      </c>
      <c r="LB15" s="231">
        <v>0.73499999999999999</v>
      </c>
      <c r="LC15" s="226">
        <f t="shared" si="6"/>
        <v>0</v>
      </c>
      <c r="LD15" s="223"/>
      <c r="LE15" s="5"/>
      <c r="LF15" s="230">
        <v>225</v>
      </c>
      <c r="LG15" s="233">
        <v>2.121</v>
      </c>
      <c r="LH15" s="226">
        <f t="shared" si="7"/>
        <v>0</v>
      </c>
      <c r="LI15" s="223"/>
      <c r="LK15" s="224">
        <v>200</v>
      </c>
      <c r="LL15" s="225">
        <v>1.851</v>
      </c>
      <c r="LM15" s="226" t="e">
        <f t="shared" si="8"/>
        <v>#REF!</v>
      </c>
      <c r="LN15" s="223"/>
      <c r="LO15" s="125"/>
      <c r="LP15" s="230">
        <v>200</v>
      </c>
      <c r="LQ15" s="231">
        <v>13.53</v>
      </c>
      <c r="LR15" s="229" t="e">
        <f t="shared" si="9"/>
        <v>#REF!</v>
      </c>
      <c r="LS15" s="223"/>
      <c r="LT15" s="125"/>
      <c r="LU15" s="230">
        <v>200</v>
      </c>
      <c r="LV15" s="231">
        <v>0.73499999999999999</v>
      </c>
      <c r="LW15" s="226" t="e">
        <f t="shared" si="10"/>
        <v>#REF!</v>
      </c>
      <c r="LX15" s="223"/>
      <c r="LY15" s="5"/>
      <c r="LZ15" s="230">
        <v>225</v>
      </c>
      <c r="MA15" s="233">
        <v>2.121</v>
      </c>
      <c r="MB15" s="226" t="e">
        <f t="shared" si="11"/>
        <v>#REF!</v>
      </c>
      <c r="MC15" s="223"/>
    </row>
    <row r="16" spans="2:341" ht="16" thickBot="1" x14ac:dyDescent="0.25">
      <c r="B16" s="125"/>
      <c r="C16" s="224">
        <v>225</v>
      </c>
      <c r="D16" s="225">
        <v>1.8520000000000001</v>
      </c>
      <c r="E16" s="226">
        <f t="shared" si="12"/>
        <v>0</v>
      </c>
      <c r="F16" s="223"/>
      <c r="G16" s="125"/>
      <c r="H16" s="230">
        <v>225</v>
      </c>
      <c r="I16" s="231">
        <v>13.83</v>
      </c>
      <c r="J16" s="229">
        <f t="shared" si="13"/>
        <v>0</v>
      </c>
      <c r="K16" s="223"/>
      <c r="L16" s="125"/>
      <c r="M16" s="230">
        <v>225</v>
      </c>
      <c r="N16" s="231">
        <v>0.76300000000000001</v>
      </c>
      <c r="O16" s="226">
        <f t="shared" si="14"/>
        <v>0</v>
      </c>
      <c r="P16" s="223"/>
      <c r="Q16" s="5"/>
      <c r="R16" s="154">
        <v>250</v>
      </c>
      <c r="S16" s="219">
        <v>2.1560000000000001</v>
      </c>
      <c r="T16" s="226">
        <f t="shared" si="15"/>
        <v>0</v>
      </c>
      <c r="U16" s="223"/>
      <c r="V16" s="5"/>
      <c r="W16" s="224">
        <v>225</v>
      </c>
      <c r="X16" s="225">
        <v>1.8520000000000001</v>
      </c>
      <c r="Y16" s="226">
        <f t="shared" si="16"/>
        <v>0</v>
      </c>
      <c r="Z16" s="223"/>
      <c r="AA16" s="125"/>
      <c r="AB16" s="230">
        <v>225</v>
      </c>
      <c r="AC16" s="231">
        <v>13.83</v>
      </c>
      <c r="AD16" s="229">
        <f t="shared" si="17"/>
        <v>0</v>
      </c>
      <c r="AE16" s="223"/>
      <c r="AF16" s="125"/>
      <c r="AG16" s="230">
        <v>225</v>
      </c>
      <c r="AH16" s="231">
        <v>0.76300000000000001</v>
      </c>
      <c r="AI16" s="226">
        <f t="shared" si="18"/>
        <v>0</v>
      </c>
      <c r="AJ16" s="223"/>
      <c r="AK16" s="5"/>
      <c r="AL16" s="154">
        <v>225</v>
      </c>
      <c r="AM16" s="219">
        <v>1.0389999999999999</v>
      </c>
      <c r="AN16" s="226">
        <f t="shared" si="19"/>
        <v>0</v>
      </c>
      <c r="AO16" s="223"/>
      <c r="AQ16" s="224">
        <v>225</v>
      </c>
      <c r="AR16" s="225">
        <v>1.8520000000000001</v>
      </c>
      <c r="AS16" s="226">
        <f t="shared" si="20"/>
        <v>0</v>
      </c>
      <c r="AT16" s="223"/>
      <c r="AU16" s="125"/>
      <c r="AV16" s="230">
        <v>225</v>
      </c>
      <c r="AW16" s="231">
        <v>13.83</v>
      </c>
      <c r="AX16" s="229">
        <f t="shared" si="21"/>
        <v>0</v>
      </c>
      <c r="AY16" s="223"/>
      <c r="AZ16" s="125"/>
      <c r="BA16" s="230">
        <v>225</v>
      </c>
      <c r="BB16" s="231">
        <v>0.76300000000000001</v>
      </c>
      <c r="BC16" s="226">
        <f t="shared" si="22"/>
        <v>0</v>
      </c>
      <c r="BD16" s="223"/>
      <c r="BE16" s="5"/>
      <c r="BF16" s="230">
        <v>250</v>
      </c>
      <c r="BG16" s="233">
        <v>2.1560000000000001</v>
      </c>
      <c r="BH16" s="226">
        <f t="shared" si="23"/>
        <v>0</v>
      </c>
      <c r="BI16" s="223"/>
      <c r="BK16" s="224">
        <v>225</v>
      </c>
      <c r="BL16" s="225">
        <v>1.8520000000000001</v>
      </c>
      <c r="BM16" s="226">
        <f t="shared" si="24"/>
        <v>0</v>
      </c>
      <c r="BN16" s="223"/>
      <c r="BO16" s="125"/>
      <c r="BP16" s="230">
        <v>225</v>
      </c>
      <c r="BQ16" s="231">
        <v>13.83</v>
      </c>
      <c r="BR16" s="229">
        <f t="shared" si="25"/>
        <v>0</v>
      </c>
      <c r="BS16" s="223"/>
      <c r="BT16" s="125"/>
      <c r="BU16" s="230">
        <v>225</v>
      </c>
      <c r="BV16" s="231">
        <v>0.76300000000000001</v>
      </c>
      <c r="BW16" s="226">
        <f t="shared" si="26"/>
        <v>0</v>
      </c>
      <c r="BX16" s="223"/>
      <c r="BY16" s="5"/>
      <c r="BZ16" s="154">
        <v>225</v>
      </c>
      <c r="CA16" s="219">
        <v>1.0389999999999999</v>
      </c>
      <c r="CB16" s="226">
        <f t="shared" si="27"/>
        <v>0</v>
      </c>
      <c r="CC16" s="223"/>
      <c r="CE16" s="224">
        <v>225</v>
      </c>
      <c r="CF16" s="225">
        <v>1.8520000000000001</v>
      </c>
      <c r="CG16" s="226">
        <f t="shared" si="28"/>
        <v>0</v>
      </c>
      <c r="CH16" s="223"/>
      <c r="CI16" s="125"/>
      <c r="CJ16" s="230">
        <v>225</v>
      </c>
      <c r="CK16" s="231">
        <v>13.83</v>
      </c>
      <c r="CL16" s="229">
        <f t="shared" si="29"/>
        <v>0</v>
      </c>
      <c r="CM16" s="223"/>
      <c r="CN16" s="125"/>
      <c r="CO16" s="230">
        <v>225</v>
      </c>
      <c r="CP16" s="231">
        <v>0.76300000000000001</v>
      </c>
      <c r="CQ16" s="226">
        <f t="shared" si="30"/>
        <v>0</v>
      </c>
      <c r="CR16" s="223"/>
      <c r="CT16" s="154">
        <v>225</v>
      </c>
      <c r="CU16" s="219">
        <v>1.0389999999999999</v>
      </c>
      <c r="CV16" s="226">
        <f t="shared" si="31"/>
        <v>0</v>
      </c>
      <c r="CW16" s="223"/>
      <c r="CY16" s="224">
        <v>225</v>
      </c>
      <c r="CZ16" s="225">
        <v>1.8520000000000001</v>
      </c>
      <c r="DA16" s="226">
        <f t="shared" si="32"/>
        <v>0</v>
      </c>
      <c r="DB16" s="223"/>
      <c r="DC16" s="125"/>
      <c r="DD16" s="230">
        <v>225</v>
      </c>
      <c r="DE16" s="231">
        <v>13.83</v>
      </c>
      <c r="DF16" s="229">
        <f t="shared" si="33"/>
        <v>0</v>
      </c>
      <c r="DG16" s="223"/>
      <c r="DH16" s="125"/>
      <c r="DI16" s="230">
        <v>225</v>
      </c>
      <c r="DJ16" s="231">
        <v>0.76300000000000001</v>
      </c>
      <c r="DK16" s="226">
        <f t="shared" si="34"/>
        <v>0</v>
      </c>
      <c r="DL16" s="223"/>
      <c r="DN16" s="154">
        <v>225</v>
      </c>
      <c r="DO16" s="219">
        <v>1.0389999999999999</v>
      </c>
      <c r="DP16" s="226">
        <f t="shared" si="35"/>
        <v>0</v>
      </c>
      <c r="DQ16" s="223"/>
      <c r="DS16" s="224">
        <v>225</v>
      </c>
      <c r="DT16" s="225">
        <v>1.8520000000000001</v>
      </c>
      <c r="DU16" s="226">
        <f t="shared" si="36"/>
        <v>0</v>
      </c>
      <c r="DV16" s="223"/>
      <c r="DW16" s="125"/>
      <c r="DX16" s="230">
        <v>225</v>
      </c>
      <c r="DY16" s="231">
        <v>13.83</v>
      </c>
      <c r="DZ16" s="229">
        <f t="shared" si="37"/>
        <v>0</v>
      </c>
      <c r="EA16" s="223"/>
      <c r="EB16" s="125"/>
      <c r="EC16" s="230">
        <v>225</v>
      </c>
      <c r="ED16" s="231">
        <v>0.76300000000000001</v>
      </c>
      <c r="EE16" s="226">
        <f t="shared" si="38"/>
        <v>0</v>
      </c>
      <c r="EF16" s="223"/>
      <c r="EH16" s="154">
        <v>225</v>
      </c>
      <c r="EI16" s="219">
        <v>1.0389999999999999</v>
      </c>
      <c r="EJ16" s="226">
        <f t="shared" si="39"/>
        <v>0</v>
      </c>
      <c r="EK16" s="223"/>
      <c r="EM16" s="230">
        <v>225</v>
      </c>
      <c r="EN16" s="231">
        <v>0.76300000000000001</v>
      </c>
      <c r="EO16" s="226">
        <f t="shared" si="40"/>
        <v>0</v>
      </c>
      <c r="EP16" s="223"/>
      <c r="EQ16" s="125"/>
      <c r="ER16" s="224"/>
      <c r="ES16" s="224"/>
      <c r="ET16" s="389"/>
      <c r="EU16" s="5"/>
      <c r="EV16" s="125"/>
      <c r="EW16" s="230">
        <v>225</v>
      </c>
      <c r="EX16" s="231">
        <v>0.76300000000000001</v>
      </c>
      <c r="EY16" s="226">
        <f t="shared" si="41"/>
        <v>0</v>
      </c>
      <c r="EZ16" s="223"/>
      <c r="FA16" s="125"/>
      <c r="FB16" s="224"/>
      <c r="FC16" s="224"/>
      <c r="FD16" s="389"/>
      <c r="FE16" s="5"/>
      <c r="FG16" s="224">
        <v>225</v>
      </c>
      <c r="FH16" s="225">
        <v>1.8520000000000001</v>
      </c>
      <c r="FI16" s="226">
        <f t="shared" si="42"/>
        <v>0</v>
      </c>
      <c r="FJ16" s="223"/>
      <c r="FK16" s="125"/>
      <c r="FL16" s="230">
        <v>225</v>
      </c>
      <c r="FM16" s="231">
        <v>13.83</v>
      </c>
      <c r="FN16" s="229">
        <f t="shared" si="43"/>
        <v>0</v>
      </c>
      <c r="FO16" s="223"/>
      <c r="FP16" s="125"/>
      <c r="FQ16" s="230">
        <v>225</v>
      </c>
      <c r="FR16" s="231">
        <v>0.76300000000000001</v>
      </c>
      <c r="FS16" s="226">
        <f t="shared" si="44"/>
        <v>0</v>
      </c>
      <c r="FT16" s="223"/>
      <c r="FV16" s="154">
        <v>225</v>
      </c>
      <c r="FW16" s="219">
        <v>1.0389999999999999</v>
      </c>
      <c r="FX16" s="226">
        <f t="shared" si="45"/>
        <v>0</v>
      </c>
      <c r="FY16" s="223"/>
      <c r="GA16" s="224">
        <v>225</v>
      </c>
      <c r="GB16" s="225">
        <v>1.8520000000000001</v>
      </c>
      <c r="GC16" s="226">
        <f t="shared" si="46"/>
        <v>0</v>
      </c>
      <c r="GD16" s="223"/>
      <c r="GE16" s="125"/>
      <c r="GF16" s="230">
        <v>225</v>
      </c>
      <c r="GG16" s="231">
        <v>13.83</v>
      </c>
      <c r="GH16" s="229">
        <f t="shared" si="47"/>
        <v>0</v>
      </c>
      <c r="GI16" s="223"/>
      <c r="GJ16" s="125"/>
      <c r="GK16" s="230">
        <v>225</v>
      </c>
      <c r="GL16" s="231">
        <v>0.76300000000000001</v>
      </c>
      <c r="GM16" s="226">
        <f t="shared" si="48"/>
        <v>0</v>
      </c>
      <c r="GN16" s="223"/>
      <c r="GP16" s="154">
        <v>225</v>
      </c>
      <c r="GQ16" s="219">
        <v>1.0389999999999999</v>
      </c>
      <c r="GR16" s="226">
        <f t="shared" si="49"/>
        <v>0</v>
      </c>
      <c r="GS16" s="223"/>
      <c r="GU16" s="224">
        <v>225</v>
      </c>
      <c r="GV16" s="225">
        <v>1.8520000000000001</v>
      </c>
      <c r="GW16" s="226">
        <f t="shared" si="50"/>
        <v>0</v>
      </c>
      <c r="GX16" s="223"/>
      <c r="GY16" s="125"/>
      <c r="GZ16" s="230">
        <v>225</v>
      </c>
      <c r="HA16" s="231">
        <v>13.83</v>
      </c>
      <c r="HB16" s="229">
        <f t="shared" si="51"/>
        <v>0</v>
      </c>
      <c r="HC16" s="223"/>
      <c r="HD16" s="125"/>
      <c r="HE16" s="230">
        <v>225</v>
      </c>
      <c r="HF16" s="231">
        <v>0.76300000000000001</v>
      </c>
      <c r="HG16" s="226">
        <f t="shared" si="52"/>
        <v>0</v>
      </c>
      <c r="HH16" s="223"/>
      <c r="HI16" s="5"/>
      <c r="HJ16" s="154">
        <v>250</v>
      </c>
      <c r="HK16" s="219">
        <v>2.1560000000000001</v>
      </c>
      <c r="HL16" s="226">
        <f t="shared" si="53"/>
        <v>0</v>
      </c>
      <c r="HM16" s="223"/>
      <c r="HO16" s="224">
        <v>225</v>
      </c>
      <c r="HP16" s="225">
        <v>1.8520000000000001</v>
      </c>
      <c r="HQ16" s="226">
        <f t="shared" si="54"/>
        <v>0</v>
      </c>
      <c r="HR16" s="223"/>
      <c r="HS16" s="125"/>
      <c r="HT16" s="230">
        <v>225</v>
      </c>
      <c r="HU16" s="231">
        <v>13.83</v>
      </c>
      <c r="HV16" s="229">
        <f t="shared" si="55"/>
        <v>0</v>
      </c>
      <c r="HW16" s="223"/>
      <c r="HX16" s="125"/>
      <c r="HY16" s="230">
        <v>225</v>
      </c>
      <c r="HZ16" s="231">
        <v>0.76300000000000001</v>
      </c>
      <c r="IA16" s="226">
        <f t="shared" si="56"/>
        <v>0</v>
      </c>
      <c r="IB16" s="223"/>
      <c r="IC16" s="5"/>
      <c r="ID16" s="154">
        <v>250</v>
      </c>
      <c r="IE16" s="219">
        <v>2.1560000000000001</v>
      </c>
      <c r="IF16" s="226">
        <f t="shared" si="57"/>
        <v>0</v>
      </c>
      <c r="IG16" s="223"/>
      <c r="II16" s="224">
        <v>225</v>
      </c>
      <c r="IJ16" s="225">
        <v>1.8520000000000001</v>
      </c>
      <c r="IK16" s="226">
        <f t="shared" si="58"/>
        <v>0</v>
      </c>
      <c r="IL16" s="223"/>
      <c r="IM16" s="125"/>
      <c r="IN16" s="230">
        <v>225</v>
      </c>
      <c r="IO16" s="231">
        <v>13.83</v>
      </c>
      <c r="IP16" s="229">
        <f t="shared" si="59"/>
        <v>0</v>
      </c>
      <c r="IQ16" s="223"/>
      <c r="IR16" s="125"/>
      <c r="IS16" s="230">
        <v>225</v>
      </c>
      <c r="IT16" s="231">
        <v>0.76300000000000001</v>
      </c>
      <c r="IU16" s="226">
        <f t="shared" si="60"/>
        <v>0</v>
      </c>
      <c r="IV16" s="223"/>
      <c r="IW16" s="5"/>
      <c r="IX16" s="154">
        <v>250</v>
      </c>
      <c r="IY16" s="219">
        <v>2.1560000000000001</v>
      </c>
      <c r="IZ16" s="226">
        <f t="shared" si="61"/>
        <v>0</v>
      </c>
      <c r="JA16" s="223"/>
      <c r="JC16" s="224">
        <v>225</v>
      </c>
      <c r="JD16" s="225">
        <v>1.8520000000000001</v>
      </c>
      <c r="JE16" s="226">
        <f t="shared" si="62"/>
        <v>0</v>
      </c>
      <c r="JF16" s="223"/>
      <c r="JG16" s="125"/>
      <c r="JH16" s="230">
        <v>225</v>
      </c>
      <c r="JI16" s="231">
        <v>13.83</v>
      </c>
      <c r="JJ16" s="229">
        <f t="shared" si="63"/>
        <v>0</v>
      </c>
      <c r="JK16" s="223"/>
      <c r="JL16" s="125"/>
      <c r="JM16" s="230">
        <v>225</v>
      </c>
      <c r="JN16" s="231">
        <v>0.76300000000000001</v>
      </c>
      <c r="JO16" s="226">
        <f t="shared" si="64"/>
        <v>0</v>
      </c>
      <c r="JP16" s="223"/>
      <c r="JQ16" s="5"/>
      <c r="JR16" s="230">
        <v>250</v>
      </c>
      <c r="JS16" s="233">
        <v>2.1560000000000001</v>
      </c>
      <c r="JT16" s="226">
        <f t="shared" si="65"/>
        <v>0</v>
      </c>
      <c r="JU16" s="223"/>
      <c r="JW16" s="224">
        <v>225</v>
      </c>
      <c r="JX16" s="225">
        <v>1.8520000000000001</v>
      </c>
      <c r="JY16" s="226">
        <f t="shared" si="0"/>
        <v>0</v>
      </c>
      <c r="JZ16" s="223"/>
      <c r="KA16" s="125"/>
      <c r="KB16" s="230">
        <v>225</v>
      </c>
      <c r="KC16" s="231">
        <v>13.83</v>
      </c>
      <c r="KD16" s="229">
        <f t="shared" si="1"/>
        <v>0</v>
      </c>
      <c r="KE16" s="223"/>
      <c r="KF16" s="125"/>
      <c r="KG16" s="230">
        <v>225</v>
      </c>
      <c r="KH16" s="231">
        <v>0.76300000000000001</v>
      </c>
      <c r="KI16" s="226">
        <f t="shared" si="2"/>
        <v>0</v>
      </c>
      <c r="KJ16" s="223"/>
      <c r="KK16" s="5"/>
      <c r="KL16" s="230">
        <v>250</v>
      </c>
      <c r="KM16" s="233">
        <v>2.1560000000000001</v>
      </c>
      <c r="KN16" s="226">
        <f t="shared" si="3"/>
        <v>0</v>
      </c>
      <c r="KO16" s="223"/>
      <c r="KQ16" s="224">
        <v>225</v>
      </c>
      <c r="KR16" s="225">
        <v>1.8520000000000001</v>
      </c>
      <c r="KS16" s="226">
        <f t="shared" si="4"/>
        <v>0</v>
      </c>
      <c r="KT16" s="223"/>
      <c r="KU16" s="125"/>
      <c r="KV16" s="230">
        <v>225</v>
      </c>
      <c r="KW16" s="231">
        <v>13.83</v>
      </c>
      <c r="KX16" s="229">
        <f t="shared" si="5"/>
        <v>0</v>
      </c>
      <c r="KY16" s="223"/>
      <c r="KZ16" s="125"/>
      <c r="LA16" s="230">
        <v>225</v>
      </c>
      <c r="LB16" s="231">
        <v>0.76300000000000001</v>
      </c>
      <c r="LC16" s="226">
        <f t="shared" si="6"/>
        <v>0</v>
      </c>
      <c r="LD16" s="223"/>
      <c r="LE16" s="5"/>
      <c r="LF16" s="230">
        <v>250</v>
      </c>
      <c r="LG16" s="233">
        <v>2.1560000000000001</v>
      </c>
      <c r="LH16" s="226">
        <f t="shared" si="7"/>
        <v>0</v>
      </c>
      <c r="LI16" s="223"/>
      <c r="LK16" s="224">
        <v>225</v>
      </c>
      <c r="LL16" s="225">
        <v>1.8520000000000001</v>
      </c>
      <c r="LM16" s="226" t="e">
        <f t="shared" si="8"/>
        <v>#REF!</v>
      </c>
      <c r="LN16" s="223"/>
      <c r="LO16" s="125"/>
      <c r="LP16" s="230">
        <v>225</v>
      </c>
      <c r="LQ16" s="231">
        <v>13.83</v>
      </c>
      <c r="LR16" s="229" t="e">
        <f t="shared" si="9"/>
        <v>#REF!</v>
      </c>
      <c r="LS16" s="223"/>
      <c r="LT16" s="125"/>
      <c r="LU16" s="230">
        <v>225</v>
      </c>
      <c r="LV16" s="231">
        <v>0.76300000000000001</v>
      </c>
      <c r="LW16" s="226" t="e">
        <f t="shared" si="10"/>
        <v>#REF!</v>
      </c>
      <c r="LX16" s="223"/>
      <c r="LY16" s="5"/>
      <c r="LZ16" s="230">
        <v>250</v>
      </c>
      <c r="MA16" s="233">
        <v>2.1560000000000001</v>
      </c>
      <c r="MB16" s="226" t="e">
        <f t="shared" si="11"/>
        <v>#REF!</v>
      </c>
      <c r="MC16" s="223"/>
    </row>
    <row r="17" spans="2:341" ht="16" thickBot="1" x14ac:dyDescent="0.25">
      <c r="B17" s="125"/>
      <c r="C17" s="224">
        <v>250</v>
      </c>
      <c r="D17" s="225">
        <v>1.855</v>
      </c>
      <c r="E17" s="226">
        <f t="shared" si="12"/>
        <v>0</v>
      </c>
      <c r="F17" s="223"/>
      <c r="G17" s="125"/>
      <c r="H17" s="230">
        <v>250</v>
      </c>
      <c r="I17" s="231">
        <v>14.05</v>
      </c>
      <c r="J17" s="229">
        <f t="shared" si="13"/>
        <v>0</v>
      </c>
      <c r="K17" s="223"/>
      <c r="L17" s="125"/>
      <c r="M17" s="230">
        <v>250</v>
      </c>
      <c r="N17" s="231">
        <v>0.79100000000000004</v>
      </c>
      <c r="O17" s="226">
        <f t="shared" si="14"/>
        <v>0</v>
      </c>
      <c r="P17" s="223"/>
      <c r="Q17" s="5"/>
      <c r="R17" s="154">
        <v>275</v>
      </c>
      <c r="S17" s="219">
        <v>2.1909999999999998</v>
      </c>
      <c r="T17" s="226">
        <f t="shared" si="15"/>
        <v>0</v>
      </c>
      <c r="U17" s="223"/>
      <c r="V17" s="5"/>
      <c r="W17" s="224">
        <v>250</v>
      </c>
      <c r="X17" s="225">
        <v>1.855</v>
      </c>
      <c r="Y17" s="226">
        <f t="shared" si="16"/>
        <v>0</v>
      </c>
      <c r="Z17" s="223"/>
      <c r="AA17" s="125"/>
      <c r="AB17" s="230">
        <v>250</v>
      </c>
      <c r="AC17" s="231">
        <v>14.05</v>
      </c>
      <c r="AD17" s="229">
        <f t="shared" si="17"/>
        <v>0</v>
      </c>
      <c r="AE17" s="223"/>
      <c r="AF17" s="125"/>
      <c r="AG17" s="230">
        <v>250</v>
      </c>
      <c r="AH17" s="231">
        <v>0.79100000000000004</v>
      </c>
      <c r="AI17" s="226">
        <f t="shared" si="18"/>
        <v>0</v>
      </c>
      <c r="AJ17" s="223"/>
      <c r="AK17" s="5"/>
      <c r="AL17" s="154">
        <v>250</v>
      </c>
      <c r="AM17" s="219">
        <v>1.0389999999999999</v>
      </c>
      <c r="AN17" s="226">
        <f t="shared" si="19"/>
        <v>0</v>
      </c>
      <c r="AO17" s="223"/>
      <c r="AQ17" s="224">
        <v>250</v>
      </c>
      <c r="AR17" s="225">
        <v>1.855</v>
      </c>
      <c r="AS17" s="226">
        <f t="shared" si="20"/>
        <v>0</v>
      </c>
      <c r="AT17" s="223"/>
      <c r="AU17" s="125"/>
      <c r="AV17" s="230">
        <v>250</v>
      </c>
      <c r="AW17" s="231">
        <v>14.05</v>
      </c>
      <c r="AX17" s="229">
        <f t="shared" si="21"/>
        <v>0</v>
      </c>
      <c r="AY17" s="223"/>
      <c r="AZ17" s="125"/>
      <c r="BA17" s="230">
        <v>250</v>
      </c>
      <c r="BB17" s="231">
        <v>0.79100000000000004</v>
      </c>
      <c r="BC17" s="226">
        <f t="shared" si="22"/>
        <v>0</v>
      </c>
      <c r="BD17" s="223"/>
      <c r="BE17" s="5"/>
      <c r="BF17" s="154">
        <v>275</v>
      </c>
      <c r="BG17" s="219">
        <v>2.1909999999999998</v>
      </c>
      <c r="BH17" s="226">
        <f t="shared" si="23"/>
        <v>0</v>
      </c>
      <c r="BI17" s="223"/>
      <c r="BK17" s="224">
        <v>250</v>
      </c>
      <c r="BL17" s="225">
        <v>1.855</v>
      </c>
      <c r="BM17" s="226">
        <f t="shared" si="24"/>
        <v>0</v>
      </c>
      <c r="BN17" s="223"/>
      <c r="BO17" s="125"/>
      <c r="BP17" s="230">
        <v>250</v>
      </c>
      <c r="BQ17" s="231">
        <v>14.05</v>
      </c>
      <c r="BR17" s="229">
        <f t="shared" si="25"/>
        <v>0</v>
      </c>
      <c r="BS17" s="223"/>
      <c r="BT17" s="125"/>
      <c r="BU17" s="230">
        <v>250</v>
      </c>
      <c r="BV17" s="231">
        <v>0.79100000000000004</v>
      </c>
      <c r="BW17" s="226">
        <f t="shared" si="26"/>
        <v>0</v>
      </c>
      <c r="BX17" s="223"/>
      <c r="BY17" s="5"/>
      <c r="BZ17" s="154">
        <v>250</v>
      </c>
      <c r="CA17" s="219">
        <v>1.0389999999999999</v>
      </c>
      <c r="CB17" s="226">
        <f t="shared" si="27"/>
        <v>0</v>
      </c>
      <c r="CC17" s="223"/>
      <c r="CE17" s="224">
        <v>250</v>
      </c>
      <c r="CF17" s="225">
        <v>1.855</v>
      </c>
      <c r="CG17" s="226">
        <f t="shared" si="28"/>
        <v>0</v>
      </c>
      <c r="CH17" s="223"/>
      <c r="CI17" s="125"/>
      <c r="CJ17" s="230">
        <v>250</v>
      </c>
      <c r="CK17" s="231">
        <v>14.05</v>
      </c>
      <c r="CL17" s="229">
        <f t="shared" si="29"/>
        <v>0</v>
      </c>
      <c r="CM17" s="223"/>
      <c r="CN17" s="125"/>
      <c r="CO17" s="230">
        <v>250</v>
      </c>
      <c r="CP17" s="231">
        <v>0.79100000000000004</v>
      </c>
      <c r="CQ17" s="226">
        <f t="shared" si="30"/>
        <v>0</v>
      </c>
      <c r="CR17" s="223"/>
      <c r="CT17" s="154">
        <v>250</v>
      </c>
      <c r="CU17" s="219">
        <v>1.0389999999999999</v>
      </c>
      <c r="CV17" s="226">
        <f t="shared" si="31"/>
        <v>0</v>
      </c>
      <c r="CW17" s="223"/>
      <c r="CY17" s="224">
        <v>250</v>
      </c>
      <c r="CZ17" s="225">
        <v>1.855</v>
      </c>
      <c r="DA17" s="226">
        <f t="shared" si="32"/>
        <v>0</v>
      </c>
      <c r="DB17" s="223"/>
      <c r="DC17" s="125"/>
      <c r="DD17" s="230">
        <v>250</v>
      </c>
      <c r="DE17" s="231">
        <v>14.05</v>
      </c>
      <c r="DF17" s="229">
        <f t="shared" si="33"/>
        <v>0</v>
      </c>
      <c r="DG17" s="223"/>
      <c r="DH17" s="125"/>
      <c r="DI17" s="230">
        <v>250</v>
      </c>
      <c r="DJ17" s="231">
        <v>0.79100000000000004</v>
      </c>
      <c r="DK17" s="226">
        <f t="shared" si="34"/>
        <v>0</v>
      </c>
      <c r="DL17" s="223"/>
      <c r="DN17" s="154">
        <v>250</v>
      </c>
      <c r="DO17" s="219">
        <v>1.0389999999999999</v>
      </c>
      <c r="DP17" s="226">
        <f t="shared" si="35"/>
        <v>0</v>
      </c>
      <c r="DQ17" s="223"/>
      <c r="DS17" s="224">
        <v>250</v>
      </c>
      <c r="DT17" s="225">
        <v>1.855</v>
      </c>
      <c r="DU17" s="226">
        <f t="shared" si="36"/>
        <v>0</v>
      </c>
      <c r="DV17" s="223"/>
      <c r="DW17" s="125"/>
      <c r="DX17" s="230">
        <v>250</v>
      </c>
      <c r="DY17" s="231">
        <v>14.05</v>
      </c>
      <c r="DZ17" s="229">
        <f t="shared" si="37"/>
        <v>0</v>
      </c>
      <c r="EA17" s="223"/>
      <c r="EB17" s="125"/>
      <c r="EC17" s="230">
        <v>250</v>
      </c>
      <c r="ED17" s="231">
        <v>0.79100000000000004</v>
      </c>
      <c r="EE17" s="226">
        <f t="shared" si="38"/>
        <v>0</v>
      </c>
      <c r="EF17" s="223"/>
      <c r="EH17" s="154">
        <v>250</v>
      </c>
      <c r="EI17" s="219">
        <v>1.0389999999999999</v>
      </c>
      <c r="EJ17" s="226">
        <f t="shared" si="39"/>
        <v>0</v>
      </c>
      <c r="EK17" s="223"/>
      <c r="EM17" s="230">
        <v>250</v>
      </c>
      <c r="EN17" s="231">
        <v>0.79100000000000004</v>
      </c>
      <c r="EO17" s="226">
        <f t="shared" si="40"/>
        <v>0</v>
      </c>
      <c r="EP17" s="223"/>
      <c r="EQ17" s="125"/>
      <c r="ER17" s="224"/>
      <c r="ES17" s="224"/>
      <c r="ET17" s="389"/>
      <c r="EU17" s="5"/>
      <c r="EV17" s="125"/>
      <c r="EW17" s="230">
        <v>250</v>
      </c>
      <c r="EX17" s="231">
        <v>0.79100000000000004</v>
      </c>
      <c r="EY17" s="226">
        <f t="shared" si="41"/>
        <v>0</v>
      </c>
      <c r="EZ17" s="223"/>
      <c r="FA17" s="125"/>
      <c r="FB17" s="224"/>
      <c r="FC17" s="224"/>
      <c r="FD17" s="389"/>
      <c r="FE17" s="5"/>
      <c r="FG17" s="224">
        <v>250</v>
      </c>
      <c r="FH17" s="225">
        <v>1.855</v>
      </c>
      <c r="FI17" s="226">
        <f t="shared" si="42"/>
        <v>0</v>
      </c>
      <c r="FJ17" s="223"/>
      <c r="FK17" s="125"/>
      <c r="FL17" s="230">
        <v>250</v>
      </c>
      <c r="FM17" s="231">
        <v>14.05</v>
      </c>
      <c r="FN17" s="229">
        <f t="shared" si="43"/>
        <v>0</v>
      </c>
      <c r="FO17" s="223"/>
      <c r="FP17" s="125"/>
      <c r="FQ17" s="230">
        <v>250</v>
      </c>
      <c r="FR17" s="231">
        <v>0.79100000000000004</v>
      </c>
      <c r="FS17" s="226">
        <f t="shared" si="44"/>
        <v>0</v>
      </c>
      <c r="FT17" s="223"/>
      <c r="FV17" s="154">
        <v>250</v>
      </c>
      <c r="FW17" s="219">
        <v>1.0389999999999999</v>
      </c>
      <c r="FX17" s="226">
        <f t="shared" si="45"/>
        <v>0</v>
      </c>
      <c r="FY17" s="223"/>
      <c r="GA17" s="224">
        <v>250</v>
      </c>
      <c r="GB17" s="225">
        <v>1.855</v>
      </c>
      <c r="GC17" s="226">
        <f t="shared" si="46"/>
        <v>0</v>
      </c>
      <c r="GD17" s="223"/>
      <c r="GE17" s="125"/>
      <c r="GF17" s="230">
        <v>250</v>
      </c>
      <c r="GG17" s="231">
        <v>14.05</v>
      </c>
      <c r="GH17" s="229">
        <f t="shared" si="47"/>
        <v>0</v>
      </c>
      <c r="GI17" s="223"/>
      <c r="GJ17" s="125"/>
      <c r="GK17" s="230">
        <v>250</v>
      </c>
      <c r="GL17" s="231">
        <v>0.79100000000000004</v>
      </c>
      <c r="GM17" s="226">
        <f t="shared" si="48"/>
        <v>0</v>
      </c>
      <c r="GN17" s="223"/>
      <c r="GP17" s="154">
        <v>250</v>
      </c>
      <c r="GQ17" s="219">
        <v>1.0389999999999999</v>
      </c>
      <c r="GR17" s="226">
        <f t="shared" si="49"/>
        <v>0</v>
      </c>
      <c r="GS17" s="223"/>
      <c r="GU17" s="224">
        <v>250</v>
      </c>
      <c r="GV17" s="225">
        <v>1.855</v>
      </c>
      <c r="GW17" s="226">
        <f t="shared" si="50"/>
        <v>0</v>
      </c>
      <c r="GX17" s="223"/>
      <c r="GY17" s="125"/>
      <c r="GZ17" s="230">
        <v>250</v>
      </c>
      <c r="HA17" s="231">
        <v>14.05</v>
      </c>
      <c r="HB17" s="229">
        <f t="shared" si="51"/>
        <v>0</v>
      </c>
      <c r="HC17" s="223"/>
      <c r="HD17" s="125"/>
      <c r="HE17" s="230">
        <v>250</v>
      </c>
      <c r="HF17" s="231">
        <v>0.79100000000000004</v>
      </c>
      <c r="HG17" s="226">
        <f t="shared" si="52"/>
        <v>0</v>
      </c>
      <c r="HH17" s="223"/>
      <c r="HI17" s="5"/>
      <c r="HJ17" s="154">
        <v>275</v>
      </c>
      <c r="HK17" s="219">
        <v>2.1909999999999998</v>
      </c>
      <c r="HL17" s="226">
        <f t="shared" si="53"/>
        <v>0</v>
      </c>
      <c r="HM17" s="223"/>
      <c r="HO17" s="224">
        <v>250</v>
      </c>
      <c r="HP17" s="225">
        <v>1.855</v>
      </c>
      <c r="HQ17" s="226">
        <f t="shared" si="54"/>
        <v>0</v>
      </c>
      <c r="HR17" s="223"/>
      <c r="HS17" s="125"/>
      <c r="HT17" s="230">
        <v>250</v>
      </c>
      <c r="HU17" s="231">
        <v>14.05</v>
      </c>
      <c r="HV17" s="229">
        <f t="shared" si="55"/>
        <v>0</v>
      </c>
      <c r="HW17" s="223"/>
      <c r="HX17" s="125"/>
      <c r="HY17" s="230">
        <v>250</v>
      </c>
      <c r="HZ17" s="231">
        <v>0.79100000000000004</v>
      </c>
      <c r="IA17" s="226">
        <f t="shared" si="56"/>
        <v>0</v>
      </c>
      <c r="IB17" s="223"/>
      <c r="IC17" s="5"/>
      <c r="ID17" s="154">
        <v>275</v>
      </c>
      <c r="IE17" s="219">
        <v>2.1909999999999998</v>
      </c>
      <c r="IF17" s="226">
        <f t="shared" si="57"/>
        <v>0</v>
      </c>
      <c r="IG17" s="223"/>
      <c r="II17" s="224">
        <v>250</v>
      </c>
      <c r="IJ17" s="225">
        <v>1.855</v>
      </c>
      <c r="IK17" s="226">
        <f t="shared" si="58"/>
        <v>0</v>
      </c>
      <c r="IL17" s="223"/>
      <c r="IM17" s="125"/>
      <c r="IN17" s="230">
        <v>250</v>
      </c>
      <c r="IO17" s="231">
        <v>14.05</v>
      </c>
      <c r="IP17" s="229">
        <f t="shared" si="59"/>
        <v>0</v>
      </c>
      <c r="IQ17" s="223"/>
      <c r="IR17" s="125"/>
      <c r="IS17" s="230">
        <v>250</v>
      </c>
      <c r="IT17" s="231">
        <v>0.79100000000000004</v>
      </c>
      <c r="IU17" s="226">
        <f t="shared" si="60"/>
        <v>0</v>
      </c>
      <c r="IV17" s="223"/>
      <c r="IW17" s="5"/>
      <c r="IX17" s="154">
        <v>275</v>
      </c>
      <c r="IY17" s="219">
        <v>2.1909999999999998</v>
      </c>
      <c r="IZ17" s="226">
        <f t="shared" si="61"/>
        <v>0</v>
      </c>
      <c r="JA17" s="223"/>
      <c r="JC17" s="224">
        <v>250</v>
      </c>
      <c r="JD17" s="225">
        <v>1.855</v>
      </c>
      <c r="JE17" s="226">
        <f t="shared" si="62"/>
        <v>0</v>
      </c>
      <c r="JF17" s="223"/>
      <c r="JG17" s="125"/>
      <c r="JH17" s="230">
        <v>250</v>
      </c>
      <c r="JI17" s="231">
        <v>14.05</v>
      </c>
      <c r="JJ17" s="229">
        <f t="shared" si="63"/>
        <v>0</v>
      </c>
      <c r="JK17" s="223"/>
      <c r="JL17" s="125"/>
      <c r="JM17" s="230">
        <v>250</v>
      </c>
      <c r="JN17" s="231">
        <v>0.79100000000000004</v>
      </c>
      <c r="JO17" s="226">
        <f t="shared" si="64"/>
        <v>0</v>
      </c>
      <c r="JP17" s="223"/>
      <c r="JQ17" s="5"/>
      <c r="JR17" s="154">
        <v>275</v>
      </c>
      <c r="JS17" s="219">
        <v>2.1909999999999998</v>
      </c>
      <c r="JT17" s="226">
        <f t="shared" si="65"/>
        <v>0</v>
      </c>
      <c r="JU17" s="223"/>
      <c r="JW17" s="224">
        <v>250</v>
      </c>
      <c r="JX17" s="225">
        <v>1.855</v>
      </c>
      <c r="JY17" s="226">
        <f t="shared" si="0"/>
        <v>0</v>
      </c>
      <c r="JZ17" s="223"/>
      <c r="KA17" s="125"/>
      <c r="KB17" s="230">
        <v>250</v>
      </c>
      <c r="KC17" s="231">
        <v>14.05</v>
      </c>
      <c r="KD17" s="229">
        <f t="shared" si="1"/>
        <v>0</v>
      </c>
      <c r="KE17" s="223"/>
      <c r="KF17" s="125"/>
      <c r="KG17" s="230">
        <v>250</v>
      </c>
      <c r="KH17" s="231">
        <v>0.79100000000000004</v>
      </c>
      <c r="KI17" s="226">
        <f t="shared" si="2"/>
        <v>0</v>
      </c>
      <c r="KJ17" s="223"/>
      <c r="KK17" s="5"/>
      <c r="KL17" s="154">
        <v>275</v>
      </c>
      <c r="KM17" s="219">
        <v>2.1909999999999998</v>
      </c>
      <c r="KN17" s="226">
        <f t="shared" si="3"/>
        <v>0</v>
      </c>
      <c r="KO17" s="223"/>
      <c r="KQ17" s="224">
        <v>250</v>
      </c>
      <c r="KR17" s="225">
        <v>1.855</v>
      </c>
      <c r="KS17" s="226">
        <f t="shared" si="4"/>
        <v>0</v>
      </c>
      <c r="KT17" s="223"/>
      <c r="KU17" s="125"/>
      <c r="KV17" s="230">
        <v>250</v>
      </c>
      <c r="KW17" s="231">
        <v>14.05</v>
      </c>
      <c r="KX17" s="229">
        <f t="shared" si="5"/>
        <v>0</v>
      </c>
      <c r="KY17" s="223"/>
      <c r="KZ17" s="125"/>
      <c r="LA17" s="230">
        <v>250</v>
      </c>
      <c r="LB17" s="231">
        <v>0.79100000000000004</v>
      </c>
      <c r="LC17" s="226">
        <f t="shared" si="6"/>
        <v>0</v>
      </c>
      <c r="LD17" s="223"/>
      <c r="LE17" s="5"/>
      <c r="LF17" s="154">
        <v>275</v>
      </c>
      <c r="LG17" s="219">
        <v>2.1909999999999998</v>
      </c>
      <c r="LH17" s="226">
        <f t="shared" si="7"/>
        <v>0</v>
      </c>
      <c r="LI17" s="223"/>
      <c r="LK17" s="224">
        <v>250</v>
      </c>
      <c r="LL17" s="225">
        <v>1.855</v>
      </c>
      <c r="LM17" s="226" t="e">
        <f t="shared" si="8"/>
        <v>#REF!</v>
      </c>
      <c r="LN17" s="223"/>
      <c r="LO17" s="125"/>
      <c r="LP17" s="230">
        <v>250</v>
      </c>
      <c r="LQ17" s="231">
        <v>14.05</v>
      </c>
      <c r="LR17" s="229" t="e">
        <f t="shared" si="9"/>
        <v>#REF!</v>
      </c>
      <c r="LS17" s="223"/>
      <c r="LT17" s="125"/>
      <c r="LU17" s="230">
        <v>250</v>
      </c>
      <c r="LV17" s="231">
        <v>0.79100000000000004</v>
      </c>
      <c r="LW17" s="226" t="e">
        <f t="shared" si="10"/>
        <v>#REF!</v>
      </c>
      <c r="LX17" s="223"/>
      <c r="LY17" s="5"/>
      <c r="LZ17" s="154">
        <v>275</v>
      </c>
      <c r="MA17" s="219">
        <v>2.1909999999999998</v>
      </c>
      <c r="MB17" s="226" t="e">
        <f t="shared" si="11"/>
        <v>#REF!</v>
      </c>
      <c r="MC17" s="223"/>
    </row>
    <row r="18" spans="2:341" ht="16" thickBot="1" x14ac:dyDescent="0.25">
      <c r="B18" s="125"/>
      <c r="C18" s="224">
        <v>275</v>
      </c>
      <c r="D18" s="225">
        <v>1.859</v>
      </c>
      <c r="E18" s="226">
        <f t="shared" si="12"/>
        <v>0</v>
      </c>
      <c r="F18" s="223"/>
      <c r="G18" s="125"/>
      <c r="H18" s="230">
        <v>275</v>
      </c>
      <c r="I18" s="231">
        <v>14.2</v>
      </c>
      <c r="J18" s="229">
        <f t="shared" si="13"/>
        <v>0</v>
      </c>
      <c r="K18" s="223"/>
      <c r="L18" s="125"/>
      <c r="M18" s="230">
        <v>275</v>
      </c>
      <c r="N18" s="231">
        <v>0.81899999999999995</v>
      </c>
      <c r="O18" s="226">
        <f t="shared" si="14"/>
        <v>0</v>
      </c>
      <c r="P18" s="223"/>
      <c r="Q18" s="5"/>
      <c r="R18" s="154">
        <v>300</v>
      </c>
      <c r="S18" s="219">
        <v>2.226</v>
      </c>
      <c r="T18" s="226">
        <f t="shared" si="15"/>
        <v>0</v>
      </c>
      <c r="U18" s="223"/>
      <c r="V18" s="5"/>
      <c r="W18" s="224">
        <v>275</v>
      </c>
      <c r="X18" s="225">
        <v>1.859</v>
      </c>
      <c r="Y18" s="226">
        <f t="shared" si="16"/>
        <v>0</v>
      </c>
      <c r="Z18" s="223"/>
      <c r="AA18" s="125"/>
      <c r="AB18" s="230">
        <v>275</v>
      </c>
      <c r="AC18" s="231">
        <v>14.2</v>
      </c>
      <c r="AD18" s="229">
        <f t="shared" si="17"/>
        <v>0</v>
      </c>
      <c r="AE18" s="223"/>
      <c r="AF18" s="125"/>
      <c r="AG18" s="230">
        <v>275</v>
      </c>
      <c r="AH18" s="231">
        <v>0.81899999999999995</v>
      </c>
      <c r="AI18" s="226">
        <f t="shared" si="18"/>
        <v>0</v>
      </c>
      <c r="AJ18" s="223"/>
      <c r="AK18" s="5"/>
      <c r="AL18" s="154">
        <v>275</v>
      </c>
      <c r="AM18" s="219">
        <v>1.04</v>
      </c>
      <c r="AN18" s="226">
        <f t="shared" si="19"/>
        <v>0</v>
      </c>
      <c r="AO18" s="223"/>
      <c r="AQ18" s="224">
        <v>275</v>
      </c>
      <c r="AR18" s="225">
        <v>1.859</v>
      </c>
      <c r="AS18" s="226">
        <f t="shared" si="20"/>
        <v>0</v>
      </c>
      <c r="AT18" s="223"/>
      <c r="AU18" s="125"/>
      <c r="AV18" s="230">
        <v>275</v>
      </c>
      <c r="AW18" s="231">
        <v>14.2</v>
      </c>
      <c r="AX18" s="229">
        <f t="shared" si="21"/>
        <v>0</v>
      </c>
      <c r="AY18" s="223"/>
      <c r="AZ18" s="125"/>
      <c r="BA18" s="230">
        <v>275</v>
      </c>
      <c r="BB18" s="231">
        <v>0.81899999999999995</v>
      </c>
      <c r="BC18" s="226">
        <f t="shared" si="22"/>
        <v>0</v>
      </c>
      <c r="BD18" s="223"/>
      <c r="BE18" s="5"/>
      <c r="BF18" s="154">
        <v>300</v>
      </c>
      <c r="BG18" s="219">
        <v>2.226</v>
      </c>
      <c r="BH18" s="226">
        <f t="shared" si="23"/>
        <v>0</v>
      </c>
      <c r="BI18" s="223"/>
      <c r="BK18" s="224">
        <v>275</v>
      </c>
      <c r="BL18" s="225">
        <v>1.859</v>
      </c>
      <c r="BM18" s="226">
        <f t="shared" si="24"/>
        <v>0</v>
      </c>
      <c r="BN18" s="223"/>
      <c r="BO18" s="125"/>
      <c r="BP18" s="230">
        <v>275</v>
      </c>
      <c r="BQ18" s="231">
        <v>14.2</v>
      </c>
      <c r="BR18" s="229">
        <f t="shared" si="25"/>
        <v>0</v>
      </c>
      <c r="BS18" s="223"/>
      <c r="BT18" s="125"/>
      <c r="BU18" s="230">
        <v>275</v>
      </c>
      <c r="BV18" s="231">
        <v>0.81899999999999995</v>
      </c>
      <c r="BW18" s="226">
        <f t="shared" si="26"/>
        <v>0</v>
      </c>
      <c r="BX18" s="223"/>
      <c r="BY18" s="5"/>
      <c r="BZ18" s="154">
        <v>275</v>
      </c>
      <c r="CA18" s="219">
        <v>1.04</v>
      </c>
      <c r="CB18" s="226">
        <f t="shared" si="27"/>
        <v>0</v>
      </c>
      <c r="CC18" s="223"/>
      <c r="CE18" s="224">
        <v>275</v>
      </c>
      <c r="CF18" s="225">
        <v>1.859</v>
      </c>
      <c r="CG18" s="226">
        <f t="shared" si="28"/>
        <v>0</v>
      </c>
      <c r="CH18" s="223"/>
      <c r="CI18" s="125"/>
      <c r="CJ18" s="230">
        <v>275</v>
      </c>
      <c r="CK18" s="231">
        <v>14.2</v>
      </c>
      <c r="CL18" s="229">
        <f t="shared" si="29"/>
        <v>0</v>
      </c>
      <c r="CM18" s="223"/>
      <c r="CN18" s="125"/>
      <c r="CO18" s="230">
        <v>275</v>
      </c>
      <c r="CP18" s="231">
        <v>0.81899999999999995</v>
      </c>
      <c r="CQ18" s="226">
        <f t="shared" si="30"/>
        <v>0</v>
      </c>
      <c r="CR18" s="223"/>
      <c r="CT18" s="154">
        <v>275</v>
      </c>
      <c r="CU18" s="219">
        <v>1.04</v>
      </c>
      <c r="CV18" s="226">
        <f t="shared" si="31"/>
        <v>0</v>
      </c>
      <c r="CW18" s="223"/>
      <c r="CY18" s="224">
        <v>275</v>
      </c>
      <c r="CZ18" s="225">
        <v>1.859</v>
      </c>
      <c r="DA18" s="226">
        <f t="shared" si="32"/>
        <v>0</v>
      </c>
      <c r="DB18" s="223"/>
      <c r="DC18" s="125"/>
      <c r="DD18" s="230">
        <v>275</v>
      </c>
      <c r="DE18" s="231">
        <v>14.2</v>
      </c>
      <c r="DF18" s="229">
        <f t="shared" si="33"/>
        <v>0</v>
      </c>
      <c r="DG18" s="223"/>
      <c r="DH18" s="125"/>
      <c r="DI18" s="230">
        <v>275</v>
      </c>
      <c r="DJ18" s="231">
        <v>0.81899999999999995</v>
      </c>
      <c r="DK18" s="226">
        <f t="shared" si="34"/>
        <v>0</v>
      </c>
      <c r="DL18" s="223"/>
      <c r="DN18" s="154">
        <v>275</v>
      </c>
      <c r="DO18" s="219">
        <v>1.04</v>
      </c>
      <c r="DP18" s="226">
        <f t="shared" si="35"/>
        <v>0</v>
      </c>
      <c r="DQ18" s="223"/>
      <c r="DS18" s="224">
        <v>275</v>
      </c>
      <c r="DT18" s="225">
        <v>1.859</v>
      </c>
      <c r="DU18" s="226">
        <f t="shared" si="36"/>
        <v>0</v>
      </c>
      <c r="DV18" s="223"/>
      <c r="DW18" s="125"/>
      <c r="DX18" s="230">
        <v>275</v>
      </c>
      <c r="DY18" s="231">
        <v>14.2</v>
      </c>
      <c r="DZ18" s="229">
        <f t="shared" si="37"/>
        <v>0</v>
      </c>
      <c r="EA18" s="223"/>
      <c r="EB18" s="125"/>
      <c r="EC18" s="230">
        <v>275</v>
      </c>
      <c r="ED18" s="231">
        <v>0.81899999999999995</v>
      </c>
      <c r="EE18" s="226">
        <f t="shared" si="38"/>
        <v>0</v>
      </c>
      <c r="EF18" s="223"/>
      <c r="EH18" s="154">
        <v>275</v>
      </c>
      <c r="EI18" s="219">
        <v>1.04</v>
      </c>
      <c r="EJ18" s="226">
        <f t="shared" si="39"/>
        <v>0</v>
      </c>
      <c r="EK18" s="223"/>
      <c r="EM18" s="230">
        <v>275</v>
      </c>
      <c r="EN18" s="231">
        <v>0.81899999999999995</v>
      </c>
      <c r="EO18" s="226">
        <f t="shared" si="40"/>
        <v>0.84060000000000001</v>
      </c>
      <c r="EP18" s="223"/>
      <c r="EQ18" s="125"/>
      <c r="ER18" s="224"/>
      <c r="ES18" s="224"/>
      <c r="ET18" s="389"/>
      <c r="EU18" s="5"/>
      <c r="EV18" s="125"/>
      <c r="EW18" s="230">
        <v>275</v>
      </c>
      <c r="EX18" s="231">
        <v>0.81899999999999995</v>
      </c>
      <c r="EY18" s="226">
        <f t="shared" si="41"/>
        <v>0</v>
      </c>
      <c r="EZ18" s="223"/>
      <c r="FA18" s="125"/>
      <c r="FB18" s="224"/>
      <c r="FC18" s="224"/>
      <c r="FD18" s="389"/>
      <c r="FE18" s="5"/>
      <c r="FG18" s="224">
        <v>275</v>
      </c>
      <c r="FH18" s="225">
        <v>1.859</v>
      </c>
      <c r="FI18" s="226">
        <f t="shared" si="42"/>
        <v>0</v>
      </c>
      <c r="FJ18" s="223"/>
      <c r="FK18" s="125"/>
      <c r="FL18" s="230">
        <v>275</v>
      </c>
      <c r="FM18" s="231">
        <v>14.2</v>
      </c>
      <c r="FN18" s="229">
        <f t="shared" si="43"/>
        <v>0</v>
      </c>
      <c r="FO18" s="223"/>
      <c r="FP18" s="125"/>
      <c r="FQ18" s="230">
        <v>275</v>
      </c>
      <c r="FR18" s="231">
        <v>0.81899999999999995</v>
      </c>
      <c r="FS18" s="226">
        <f t="shared" si="44"/>
        <v>0</v>
      </c>
      <c r="FT18" s="223"/>
      <c r="FV18" s="154">
        <v>275</v>
      </c>
      <c r="FW18" s="219">
        <v>1.04</v>
      </c>
      <c r="FX18" s="226">
        <f t="shared" si="45"/>
        <v>0</v>
      </c>
      <c r="FY18" s="223"/>
      <c r="GA18" s="224">
        <v>275</v>
      </c>
      <c r="GB18" s="225">
        <v>1.859</v>
      </c>
      <c r="GC18" s="226">
        <f t="shared" si="46"/>
        <v>0</v>
      </c>
      <c r="GD18" s="223"/>
      <c r="GE18" s="125"/>
      <c r="GF18" s="230">
        <v>275</v>
      </c>
      <c r="GG18" s="231">
        <v>14.2</v>
      </c>
      <c r="GH18" s="229">
        <f t="shared" si="47"/>
        <v>0</v>
      </c>
      <c r="GI18" s="223"/>
      <c r="GJ18" s="125"/>
      <c r="GK18" s="230">
        <v>275</v>
      </c>
      <c r="GL18" s="231">
        <v>0.81899999999999995</v>
      </c>
      <c r="GM18" s="226">
        <f t="shared" si="48"/>
        <v>0</v>
      </c>
      <c r="GN18" s="223"/>
      <c r="GP18" s="154">
        <v>275</v>
      </c>
      <c r="GQ18" s="219">
        <v>1.04</v>
      </c>
      <c r="GR18" s="226">
        <f t="shared" si="49"/>
        <v>0</v>
      </c>
      <c r="GS18" s="223"/>
      <c r="GU18" s="224">
        <v>275</v>
      </c>
      <c r="GV18" s="225">
        <v>1.859</v>
      </c>
      <c r="GW18" s="226">
        <f t="shared" si="50"/>
        <v>0</v>
      </c>
      <c r="GX18" s="223"/>
      <c r="GY18" s="125"/>
      <c r="GZ18" s="230">
        <v>275</v>
      </c>
      <c r="HA18" s="231">
        <v>14.2</v>
      </c>
      <c r="HB18" s="229">
        <f t="shared" si="51"/>
        <v>0</v>
      </c>
      <c r="HC18" s="223"/>
      <c r="HD18" s="125"/>
      <c r="HE18" s="230">
        <v>275</v>
      </c>
      <c r="HF18" s="231">
        <v>0.81899999999999995</v>
      </c>
      <c r="HG18" s="226">
        <f t="shared" si="52"/>
        <v>0</v>
      </c>
      <c r="HH18" s="223"/>
      <c r="HI18" s="5"/>
      <c r="HJ18" s="154">
        <v>300</v>
      </c>
      <c r="HK18" s="219">
        <v>2.226</v>
      </c>
      <c r="HL18" s="226">
        <f t="shared" si="53"/>
        <v>0</v>
      </c>
      <c r="HM18" s="223"/>
      <c r="HO18" s="224">
        <v>275</v>
      </c>
      <c r="HP18" s="225">
        <v>1.859</v>
      </c>
      <c r="HQ18" s="226">
        <f t="shared" si="54"/>
        <v>0</v>
      </c>
      <c r="HR18" s="223"/>
      <c r="HS18" s="125"/>
      <c r="HT18" s="230">
        <v>275</v>
      </c>
      <c r="HU18" s="231">
        <v>14.2</v>
      </c>
      <c r="HV18" s="229">
        <f t="shared" si="55"/>
        <v>0</v>
      </c>
      <c r="HW18" s="223"/>
      <c r="HX18" s="125"/>
      <c r="HY18" s="230">
        <v>275</v>
      </c>
      <c r="HZ18" s="231">
        <v>0.81899999999999995</v>
      </c>
      <c r="IA18" s="226">
        <f t="shared" si="56"/>
        <v>0</v>
      </c>
      <c r="IB18" s="223"/>
      <c r="IC18" s="5"/>
      <c r="ID18" s="154">
        <v>300</v>
      </c>
      <c r="IE18" s="219">
        <v>2.226</v>
      </c>
      <c r="IF18" s="226">
        <f t="shared" si="57"/>
        <v>0</v>
      </c>
      <c r="IG18" s="223"/>
      <c r="II18" s="224">
        <v>275</v>
      </c>
      <c r="IJ18" s="225">
        <v>1.859</v>
      </c>
      <c r="IK18" s="226">
        <f t="shared" si="58"/>
        <v>0</v>
      </c>
      <c r="IL18" s="223"/>
      <c r="IM18" s="125"/>
      <c r="IN18" s="230">
        <v>275</v>
      </c>
      <c r="IO18" s="231">
        <v>14.2</v>
      </c>
      <c r="IP18" s="229">
        <f t="shared" si="59"/>
        <v>0</v>
      </c>
      <c r="IQ18" s="223"/>
      <c r="IR18" s="125"/>
      <c r="IS18" s="230">
        <v>275</v>
      </c>
      <c r="IT18" s="231">
        <v>0.81899999999999995</v>
      </c>
      <c r="IU18" s="226">
        <f t="shared" si="60"/>
        <v>0</v>
      </c>
      <c r="IV18" s="223"/>
      <c r="IW18" s="5"/>
      <c r="IX18" s="154">
        <v>300</v>
      </c>
      <c r="IY18" s="219">
        <v>2.226</v>
      </c>
      <c r="IZ18" s="226">
        <f t="shared" si="61"/>
        <v>0</v>
      </c>
      <c r="JA18" s="223"/>
      <c r="JC18" s="224">
        <v>275</v>
      </c>
      <c r="JD18" s="225">
        <v>1.859</v>
      </c>
      <c r="JE18" s="226">
        <f t="shared" si="62"/>
        <v>0</v>
      </c>
      <c r="JF18" s="223"/>
      <c r="JG18" s="125"/>
      <c r="JH18" s="230">
        <v>275</v>
      </c>
      <c r="JI18" s="231">
        <v>14.2</v>
      </c>
      <c r="JJ18" s="229">
        <f t="shared" si="63"/>
        <v>0</v>
      </c>
      <c r="JK18" s="223"/>
      <c r="JL18" s="125"/>
      <c r="JM18" s="230">
        <v>275</v>
      </c>
      <c r="JN18" s="231">
        <v>0.81899999999999995</v>
      </c>
      <c r="JO18" s="226">
        <f t="shared" si="64"/>
        <v>0</v>
      </c>
      <c r="JP18" s="223"/>
      <c r="JQ18" s="5"/>
      <c r="JR18" s="154">
        <v>300</v>
      </c>
      <c r="JS18" s="219">
        <v>2.226</v>
      </c>
      <c r="JT18" s="226">
        <f t="shared" si="65"/>
        <v>0</v>
      </c>
      <c r="JU18" s="223"/>
      <c r="JW18" s="224">
        <v>275</v>
      </c>
      <c r="JX18" s="225">
        <v>1.859</v>
      </c>
      <c r="JY18" s="226">
        <f t="shared" si="0"/>
        <v>0</v>
      </c>
      <c r="JZ18" s="223"/>
      <c r="KA18" s="125"/>
      <c r="KB18" s="230">
        <v>275</v>
      </c>
      <c r="KC18" s="231">
        <v>14.2</v>
      </c>
      <c r="KD18" s="229">
        <f t="shared" si="1"/>
        <v>0</v>
      </c>
      <c r="KE18" s="223"/>
      <c r="KF18" s="125"/>
      <c r="KG18" s="230">
        <v>275</v>
      </c>
      <c r="KH18" s="231">
        <v>0.81899999999999995</v>
      </c>
      <c r="KI18" s="226">
        <f t="shared" si="2"/>
        <v>0</v>
      </c>
      <c r="KJ18" s="223"/>
      <c r="KK18" s="5"/>
      <c r="KL18" s="154">
        <v>300</v>
      </c>
      <c r="KM18" s="219">
        <v>2.226</v>
      </c>
      <c r="KN18" s="226">
        <f t="shared" si="3"/>
        <v>0</v>
      </c>
      <c r="KO18" s="223"/>
      <c r="KQ18" s="224">
        <v>275</v>
      </c>
      <c r="KR18" s="225">
        <v>1.859</v>
      </c>
      <c r="KS18" s="226">
        <f t="shared" si="4"/>
        <v>0</v>
      </c>
      <c r="KT18" s="223"/>
      <c r="KU18" s="125"/>
      <c r="KV18" s="230">
        <v>275</v>
      </c>
      <c r="KW18" s="231">
        <v>14.2</v>
      </c>
      <c r="KX18" s="229">
        <f t="shared" si="5"/>
        <v>0</v>
      </c>
      <c r="KY18" s="223"/>
      <c r="KZ18" s="125"/>
      <c r="LA18" s="230">
        <v>275</v>
      </c>
      <c r="LB18" s="231">
        <v>0.81899999999999995</v>
      </c>
      <c r="LC18" s="226">
        <f t="shared" si="6"/>
        <v>0</v>
      </c>
      <c r="LD18" s="223"/>
      <c r="LE18" s="5"/>
      <c r="LF18" s="154">
        <v>300</v>
      </c>
      <c r="LG18" s="219">
        <v>2.226</v>
      </c>
      <c r="LH18" s="226">
        <f t="shared" si="7"/>
        <v>0</v>
      </c>
      <c r="LI18" s="223"/>
      <c r="LK18" s="224">
        <v>275</v>
      </c>
      <c r="LL18" s="225">
        <v>1.859</v>
      </c>
      <c r="LM18" s="226" t="e">
        <f t="shared" si="8"/>
        <v>#REF!</v>
      </c>
      <c r="LN18" s="223"/>
      <c r="LO18" s="125"/>
      <c r="LP18" s="230">
        <v>275</v>
      </c>
      <c r="LQ18" s="231">
        <v>14.2</v>
      </c>
      <c r="LR18" s="229" t="e">
        <f t="shared" si="9"/>
        <v>#REF!</v>
      </c>
      <c r="LS18" s="223"/>
      <c r="LT18" s="125"/>
      <c r="LU18" s="230">
        <v>275</v>
      </c>
      <c r="LV18" s="231">
        <v>0.81899999999999995</v>
      </c>
      <c r="LW18" s="226" t="e">
        <f t="shared" si="10"/>
        <v>#REF!</v>
      </c>
      <c r="LX18" s="223"/>
      <c r="LY18" s="5"/>
      <c r="LZ18" s="154">
        <v>300</v>
      </c>
      <c r="MA18" s="219">
        <v>2.226</v>
      </c>
      <c r="MB18" s="226" t="e">
        <f t="shared" si="11"/>
        <v>#REF!</v>
      </c>
      <c r="MC18" s="223"/>
    </row>
    <row r="19" spans="2:341" ht="16" thickBot="1" x14ac:dyDescent="0.25">
      <c r="B19" s="125"/>
      <c r="C19" s="224">
        <v>300</v>
      </c>
      <c r="D19" s="225">
        <v>1.8640000000000001</v>
      </c>
      <c r="E19" s="226">
        <f t="shared" si="12"/>
        <v>0</v>
      </c>
      <c r="F19" s="223"/>
      <c r="G19" s="125"/>
      <c r="H19" s="230">
        <v>300</v>
      </c>
      <c r="I19" s="231">
        <v>14.31</v>
      </c>
      <c r="J19" s="229">
        <f t="shared" si="13"/>
        <v>0</v>
      </c>
      <c r="K19" s="223"/>
      <c r="L19" s="125"/>
      <c r="M19" s="230">
        <v>300</v>
      </c>
      <c r="N19" s="231">
        <v>0.84599999999999997</v>
      </c>
      <c r="O19" s="226">
        <f t="shared" si="14"/>
        <v>0</v>
      </c>
      <c r="P19" s="223"/>
      <c r="Q19" s="5"/>
      <c r="R19" s="154">
        <v>325</v>
      </c>
      <c r="S19" s="219">
        <v>2.2930000000000001</v>
      </c>
      <c r="T19" s="226">
        <f t="shared" si="15"/>
        <v>0</v>
      </c>
      <c r="U19" s="223"/>
      <c r="V19" s="5"/>
      <c r="W19" s="224">
        <v>300</v>
      </c>
      <c r="X19" s="225">
        <v>1.8640000000000001</v>
      </c>
      <c r="Y19" s="226">
        <f t="shared" si="16"/>
        <v>0</v>
      </c>
      <c r="Z19" s="223"/>
      <c r="AA19" s="125"/>
      <c r="AB19" s="230">
        <v>300</v>
      </c>
      <c r="AC19" s="231">
        <v>14.31</v>
      </c>
      <c r="AD19" s="229">
        <f t="shared" si="17"/>
        <v>0</v>
      </c>
      <c r="AE19" s="223"/>
      <c r="AF19" s="125"/>
      <c r="AG19" s="230">
        <v>300</v>
      </c>
      <c r="AH19" s="231">
        <v>0.84599999999999997</v>
      </c>
      <c r="AI19" s="226">
        <f t="shared" si="18"/>
        <v>0</v>
      </c>
      <c r="AJ19" s="223"/>
      <c r="AK19" s="5"/>
      <c r="AL19" s="154">
        <v>300</v>
      </c>
      <c r="AM19" s="219">
        <v>1.04</v>
      </c>
      <c r="AN19" s="226">
        <f t="shared" si="19"/>
        <v>0</v>
      </c>
      <c r="AO19" s="223"/>
      <c r="AQ19" s="224">
        <v>300</v>
      </c>
      <c r="AR19" s="225">
        <v>1.8640000000000001</v>
      </c>
      <c r="AS19" s="226">
        <f t="shared" si="20"/>
        <v>0</v>
      </c>
      <c r="AT19" s="223"/>
      <c r="AU19" s="125"/>
      <c r="AV19" s="230">
        <v>300</v>
      </c>
      <c r="AW19" s="231">
        <v>14.31</v>
      </c>
      <c r="AX19" s="229">
        <f t="shared" si="21"/>
        <v>0</v>
      </c>
      <c r="AY19" s="223"/>
      <c r="AZ19" s="125"/>
      <c r="BA19" s="230">
        <v>300</v>
      </c>
      <c r="BB19" s="231">
        <v>0.84599999999999997</v>
      </c>
      <c r="BC19" s="226">
        <f t="shared" si="22"/>
        <v>0</v>
      </c>
      <c r="BD19" s="223"/>
      <c r="BE19" s="5"/>
      <c r="BF19" s="154">
        <v>325</v>
      </c>
      <c r="BG19" s="219">
        <v>2.2930000000000001</v>
      </c>
      <c r="BH19" s="226">
        <f t="shared" si="23"/>
        <v>0</v>
      </c>
      <c r="BI19" s="223"/>
      <c r="BK19" s="224">
        <v>300</v>
      </c>
      <c r="BL19" s="225">
        <v>1.8640000000000001</v>
      </c>
      <c r="BM19" s="226">
        <f t="shared" si="24"/>
        <v>0</v>
      </c>
      <c r="BN19" s="223"/>
      <c r="BO19" s="125"/>
      <c r="BP19" s="230">
        <v>300</v>
      </c>
      <c r="BQ19" s="231">
        <v>14.31</v>
      </c>
      <c r="BR19" s="229">
        <f t="shared" si="25"/>
        <v>0</v>
      </c>
      <c r="BS19" s="223"/>
      <c r="BT19" s="125"/>
      <c r="BU19" s="230">
        <v>300</v>
      </c>
      <c r="BV19" s="231">
        <v>0.84599999999999997</v>
      </c>
      <c r="BW19" s="226">
        <f t="shared" si="26"/>
        <v>0</v>
      </c>
      <c r="BX19" s="223"/>
      <c r="BY19" s="5"/>
      <c r="BZ19" s="154">
        <v>300</v>
      </c>
      <c r="CA19" s="219">
        <v>1.04</v>
      </c>
      <c r="CB19" s="226">
        <f t="shared" si="27"/>
        <v>0</v>
      </c>
      <c r="CC19" s="223"/>
      <c r="CE19" s="224">
        <v>300</v>
      </c>
      <c r="CF19" s="225">
        <v>1.8640000000000001</v>
      </c>
      <c r="CG19" s="226">
        <f t="shared" si="28"/>
        <v>0</v>
      </c>
      <c r="CH19" s="223"/>
      <c r="CI19" s="125"/>
      <c r="CJ19" s="230">
        <v>300</v>
      </c>
      <c r="CK19" s="231">
        <v>14.31</v>
      </c>
      <c r="CL19" s="229">
        <f t="shared" si="29"/>
        <v>0</v>
      </c>
      <c r="CM19" s="223"/>
      <c r="CN19" s="125"/>
      <c r="CO19" s="230">
        <v>300</v>
      </c>
      <c r="CP19" s="231">
        <v>0.84599999999999997</v>
      </c>
      <c r="CQ19" s="226">
        <f t="shared" si="30"/>
        <v>0</v>
      </c>
      <c r="CR19" s="223"/>
      <c r="CT19" s="154">
        <v>300</v>
      </c>
      <c r="CU19" s="219">
        <v>1.04</v>
      </c>
      <c r="CV19" s="226">
        <f t="shared" si="31"/>
        <v>0</v>
      </c>
      <c r="CW19" s="223"/>
      <c r="CY19" s="224">
        <v>300</v>
      </c>
      <c r="CZ19" s="225">
        <v>1.8640000000000001</v>
      </c>
      <c r="DA19" s="226">
        <f t="shared" si="32"/>
        <v>0</v>
      </c>
      <c r="DB19" s="223"/>
      <c r="DC19" s="125"/>
      <c r="DD19" s="230">
        <v>300</v>
      </c>
      <c r="DE19" s="231">
        <v>14.31</v>
      </c>
      <c r="DF19" s="229">
        <f t="shared" si="33"/>
        <v>0</v>
      </c>
      <c r="DG19" s="223"/>
      <c r="DH19" s="125"/>
      <c r="DI19" s="230">
        <v>300</v>
      </c>
      <c r="DJ19" s="231">
        <v>0.84599999999999997</v>
      </c>
      <c r="DK19" s="226">
        <f t="shared" si="34"/>
        <v>0</v>
      </c>
      <c r="DL19" s="223"/>
      <c r="DN19" s="154">
        <v>300</v>
      </c>
      <c r="DO19" s="219">
        <v>1.04</v>
      </c>
      <c r="DP19" s="226">
        <f t="shared" si="35"/>
        <v>0</v>
      </c>
      <c r="DQ19" s="223"/>
      <c r="DS19" s="224">
        <v>300</v>
      </c>
      <c r="DT19" s="225">
        <v>1.8640000000000001</v>
      </c>
      <c r="DU19" s="226">
        <f t="shared" si="36"/>
        <v>0</v>
      </c>
      <c r="DV19" s="223"/>
      <c r="DW19" s="125"/>
      <c r="DX19" s="230">
        <v>300</v>
      </c>
      <c r="DY19" s="231">
        <v>14.31</v>
      </c>
      <c r="DZ19" s="229">
        <f t="shared" si="37"/>
        <v>0</v>
      </c>
      <c r="EA19" s="223"/>
      <c r="EB19" s="125"/>
      <c r="EC19" s="230">
        <v>300</v>
      </c>
      <c r="ED19" s="231">
        <v>0.84599999999999997</v>
      </c>
      <c r="EE19" s="226">
        <f t="shared" si="38"/>
        <v>0</v>
      </c>
      <c r="EF19" s="223"/>
      <c r="EH19" s="154">
        <v>300</v>
      </c>
      <c r="EI19" s="219">
        <v>1.04</v>
      </c>
      <c r="EJ19" s="226">
        <f t="shared" si="39"/>
        <v>0</v>
      </c>
      <c r="EK19" s="223"/>
      <c r="EM19" s="230">
        <v>300</v>
      </c>
      <c r="EN19" s="231">
        <v>0.84599999999999997</v>
      </c>
      <c r="EO19" s="226">
        <f t="shared" si="40"/>
        <v>0</v>
      </c>
      <c r="EP19" s="223"/>
      <c r="EQ19" s="125"/>
      <c r="ER19" s="224"/>
      <c r="ES19" s="224"/>
      <c r="ET19" s="389"/>
      <c r="EU19" s="5"/>
      <c r="EV19" s="125"/>
      <c r="EW19" s="230">
        <v>300</v>
      </c>
      <c r="EX19" s="231">
        <v>0.84599999999999997</v>
      </c>
      <c r="EY19" s="226">
        <f t="shared" si="41"/>
        <v>0</v>
      </c>
      <c r="EZ19" s="223"/>
      <c r="FA19" s="125"/>
      <c r="FB19" s="224"/>
      <c r="FC19" s="224"/>
      <c r="FD19" s="389"/>
      <c r="FE19" s="5"/>
      <c r="FG19" s="224">
        <v>300</v>
      </c>
      <c r="FH19" s="225">
        <v>1.8640000000000001</v>
      </c>
      <c r="FI19" s="226">
        <f t="shared" si="42"/>
        <v>0</v>
      </c>
      <c r="FJ19" s="223"/>
      <c r="FK19" s="125"/>
      <c r="FL19" s="230">
        <v>300</v>
      </c>
      <c r="FM19" s="231">
        <v>14.31</v>
      </c>
      <c r="FN19" s="229">
        <f t="shared" si="43"/>
        <v>0</v>
      </c>
      <c r="FO19" s="223"/>
      <c r="FP19" s="125"/>
      <c r="FQ19" s="230">
        <v>300</v>
      </c>
      <c r="FR19" s="231">
        <v>0.84599999999999997</v>
      </c>
      <c r="FS19" s="226">
        <f t="shared" si="44"/>
        <v>0</v>
      </c>
      <c r="FT19" s="223"/>
      <c r="FV19" s="154">
        <v>300</v>
      </c>
      <c r="FW19" s="219">
        <v>1.04</v>
      </c>
      <c r="FX19" s="226">
        <f t="shared" si="45"/>
        <v>0</v>
      </c>
      <c r="FY19" s="223"/>
      <c r="GA19" s="224">
        <v>300</v>
      </c>
      <c r="GB19" s="225">
        <v>1.8640000000000001</v>
      </c>
      <c r="GC19" s="226">
        <f t="shared" si="46"/>
        <v>0</v>
      </c>
      <c r="GD19" s="223"/>
      <c r="GE19" s="125"/>
      <c r="GF19" s="230">
        <v>300</v>
      </c>
      <c r="GG19" s="231">
        <v>14.31</v>
      </c>
      <c r="GH19" s="229">
        <f t="shared" si="47"/>
        <v>0</v>
      </c>
      <c r="GI19" s="223"/>
      <c r="GJ19" s="125"/>
      <c r="GK19" s="230">
        <v>300</v>
      </c>
      <c r="GL19" s="231">
        <v>0.84599999999999997</v>
      </c>
      <c r="GM19" s="226">
        <f t="shared" si="48"/>
        <v>0</v>
      </c>
      <c r="GN19" s="223"/>
      <c r="GP19" s="154">
        <v>300</v>
      </c>
      <c r="GQ19" s="219">
        <v>1.04</v>
      </c>
      <c r="GR19" s="226">
        <f t="shared" si="49"/>
        <v>0</v>
      </c>
      <c r="GS19" s="223"/>
      <c r="GU19" s="224">
        <v>300</v>
      </c>
      <c r="GV19" s="225">
        <v>1.8640000000000001</v>
      </c>
      <c r="GW19" s="226">
        <f t="shared" si="50"/>
        <v>0</v>
      </c>
      <c r="GX19" s="223"/>
      <c r="GY19" s="125"/>
      <c r="GZ19" s="230">
        <v>300</v>
      </c>
      <c r="HA19" s="231">
        <v>14.31</v>
      </c>
      <c r="HB19" s="229">
        <f t="shared" si="51"/>
        <v>0</v>
      </c>
      <c r="HC19" s="223"/>
      <c r="HD19" s="125"/>
      <c r="HE19" s="230">
        <v>300</v>
      </c>
      <c r="HF19" s="231">
        <v>0.84599999999999997</v>
      </c>
      <c r="HG19" s="226">
        <f t="shared" si="52"/>
        <v>0</v>
      </c>
      <c r="HH19" s="223"/>
      <c r="HI19" s="5"/>
      <c r="HJ19" s="154">
        <v>325</v>
      </c>
      <c r="HK19" s="219">
        <v>2.2930000000000001</v>
      </c>
      <c r="HL19" s="226">
        <f t="shared" si="53"/>
        <v>0</v>
      </c>
      <c r="HM19" s="223"/>
      <c r="HO19" s="224">
        <v>300</v>
      </c>
      <c r="HP19" s="225">
        <v>1.8640000000000001</v>
      </c>
      <c r="HQ19" s="226">
        <f t="shared" si="54"/>
        <v>0</v>
      </c>
      <c r="HR19" s="223"/>
      <c r="HS19" s="125"/>
      <c r="HT19" s="230">
        <v>300</v>
      </c>
      <c r="HU19" s="231">
        <v>14.31</v>
      </c>
      <c r="HV19" s="229">
        <f t="shared" si="55"/>
        <v>0</v>
      </c>
      <c r="HW19" s="223"/>
      <c r="HX19" s="125"/>
      <c r="HY19" s="230">
        <v>300</v>
      </c>
      <c r="HZ19" s="231">
        <v>0.84599999999999997</v>
      </c>
      <c r="IA19" s="226">
        <f t="shared" si="56"/>
        <v>0</v>
      </c>
      <c r="IB19" s="223"/>
      <c r="IC19" s="5"/>
      <c r="ID19" s="154">
        <v>325</v>
      </c>
      <c r="IE19" s="219">
        <v>2.2930000000000001</v>
      </c>
      <c r="IF19" s="226">
        <f t="shared" si="57"/>
        <v>0</v>
      </c>
      <c r="IG19" s="223"/>
      <c r="II19" s="224">
        <v>300</v>
      </c>
      <c r="IJ19" s="225">
        <v>1.8640000000000001</v>
      </c>
      <c r="IK19" s="226">
        <f t="shared" si="58"/>
        <v>0</v>
      </c>
      <c r="IL19" s="223"/>
      <c r="IM19" s="125"/>
      <c r="IN19" s="230">
        <v>300</v>
      </c>
      <c r="IO19" s="231">
        <v>14.31</v>
      </c>
      <c r="IP19" s="229">
        <f t="shared" si="59"/>
        <v>0</v>
      </c>
      <c r="IQ19" s="223"/>
      <c r="IR19" s="125"/>
      <c r="IS19" s="230">
        <v>300</v>
      </c>
      <c r="IT19" s="231">
        <v>0.84599999999999997</v>
      </c>
      <c r="IU19" s="226">
        <f t="shared" si="60"/>
        <v>0</v>
      </c>
      <c r="IV19" s="223"/>
      <c r="IW19" s="5"/>
      <c r="IX19" s="154">
        <v>325</v>
      </c>
      <c r="IY19" s="219">
        <v>2.2930000000000001</v>
      </c>
      <c r="IZ19" s="226">
        <f t="shared" si="61"/>
        <v>0</v>
      </c>
      <c r="JA19" s="223"/>
      <c r="JC19" s="224">
        <v>300</v>
      </c>
      <c r="JD19" s="225">
        <v>1.8640000000000001</v>
      </c>
      <c r="JE19" s="226">
        <f t="shared" si="62"/>
        <v>0</v>
      </c>
      <c r="JF19" s="223"/>
      <c r="JG19" s="125"/>
      <c r="JH19" s="230">
        <v>300</v>
      </c>
      <c r="JI19" s="231">
        <v>14.31</v>
      </c>
      <c r="JJ19" s="229">
        <f t="shared" si="63"/>
        <v>0</v>
      </c>
      <c r="JK19" s="223"/>
      <c r="JL19" s="125"/>
      <c r="JM19" s="230">
        <v>300</v>
      </c>
      <c r="JN19" s="231">
        <v>0.84599999999999997</v>
      </c>
      <c r="JO19" s="226">
        <f t="shared" si="64"/>
        <v>0</v>
      </c>
      <c r="JP19" s="223"/>
      <c r="JQ19" s="5"/>
      <c r="JR19" s="154">
        <v>325</v>
      </c>
      <c r="JS19" s="219">
        <v>2.2930000000000001</v>
      </c>
      <c r="JT19" s="226">
        <f t="shared" si="65"/>
        <v>0</v>
      </c>
      <c r="JU19" s="223"/>
      <c r="JW19" s="224">
        <v>300</v>
      </c>
      <c r="JX19" s="225">
        <v>1.8640000000000001</v>
      </c>
      <c r="JY19" s="226">
        <f t="shared" si="0"/>
        <v>0</v>
      </c>
      <c r="JZ19" s="223"/>
      <c r="KA19" s="125"/>
      <c r="KB19" s="230">
        <v>300</v>
      </c>
      <c r="KC19" s="231">
        <v>14.31</v>
      </c>
      <c r="KD19" s="229">
        <f t="shared" si="1"/>
        <v>0</v>
      </c>
      <c r="KE19" s="223"/>
      <c r="KF19" s="125"/>
      <c r="KG19" s="230">
        <v>300</v>
      </c>
      <c r="KH19" s="231">
        <v>0.84599999999999997</v>
      </c>
      <c r="KI19" s="226">
        <f t="shared" si="2"/>
        <v>0</v>
      </c>
      <c r="KJ19" s="223"/>
      <c r="KK19" s="5"/>
      <c r="KL19" s="154">
        <v>325</v>
      </c>
      <c r="KM19" s="219">
        <v>2.2930000000000001</v>
      </c>
      <c r="KN19" s="226">
        <f t="shared" si="3"/>
        <v>0</v>
      </c>
      <c r="KO19" s="223"/>
      <c r="KQ19" s="224">
        <v>300</v>
      </c>
      <c r="KR19" s="225">
        <v>1.8640000000000001</v>
      </c>
      <c r="KS19" s="226">
        <f t="shared" si="4"/>
        <v>0</v>
      </c>
      <c r="KT19" s="223"/>
      <c r="KU19" s="125"/>
      <c r="KV19" s="230">
        <v>300</v>
      </c>
      <c r="KW19" s="231">
        <v>14.31</v>
      </c>
      <c r="KX19" s="229">
        <f t="shared" si="5"/>
        <v>0</v>
      </c>
      <c r="KY19" s="223"/>
      <c r="KZ19" s="125"/>
      <c r="LA19" s="230">
        <v>300</v>
      </c>
      <c r="LB19" s="231">
        <v>0.84599999999999997</v>
      </c>
      <c r="LC19" s="226">
        <f t="shared" si="6"/>
        <v>0</v>
      </c>
      <c r="LD19" s="223"/>
      <c r="LE19" s="5"/>
      <c r="LF19" s="154">
        <v>325</v>
      </c>
      <c r="LG19" s="219">
        <v>2.2930000000000001</v>
      </c>
      <c r="LH19" s="226">
        <f t="shared" si="7"/>
        <v>0</v>
      </c>
      <c r="LI19" s="223"/>
      <c r="LK19" s="224">
        <v>300</v>
      </c>
      <c r="LL19" s="225">
        <v>1.8640000000000001</v>
      </c>
      <c r="LM19" s="226" t="e">
        <f t="shared" si="8"/>
        <v>#REF!</v>
      </c>
      <c r="LN19" s="223"/>
      <c r="LO19" s="125"/>
      <c r="LP19" s="230">
        <v>300</v>
      </c>
      <c r="LQ19" s="231">
        <v>14.31</v>
      </c>
      <c r="LR19" s="229" t="e">
        <f t="shared" si="9"/>
        <v>#REF!</v>
      </c>
      <c r="LS19" s="223"/>
      <c r="LT19" s="125"/>
      <c r="LU19" s="230">
        <v>300</v>
      </c>
      <c r="LV19" s="231">
        <v>0.84599999999999997</v>
      </c>
      <c r="LW19" s="226" t="e">
        <f t="shared" si="10"/>
        <v>#REF!</v>
      </c>
      <c r="LX19" s="223"/>
      <c r="LY19" s="5"/>
      <c r="LZ19" s="154">
        <v>325</v>
      </c>
      <c r="MA19" s="219">
        <v>2.2930000000000001</v>
      </c>
      <c r="MB19" s="226" t="e">
        <f t="shared" si="11"/>
        <v>#REF!</v>
      </c>
      <c r="MC19" s="223"/>
    </row>
    <row r="20" spans="2:341" ht="16" thickBot="1" x14ac:dyDescent="0.25">
      <c r="B20" s="125"/>
      <c r="C20" s="224">
        <v>325</v>
      </c>
      <c r="D20" s="225">
        <v>1.871</v>
      </c>
      <c r="E20" s="226">
        <f t="shared" si="12"/>
        <v>0</v>
      </c>
      <c r="F20" s="223"/>
      <c r="G20" s="125"/>
      <c r="H20" s="230">
        <v>325</v>
      </c>
      <c r="I20" s="231">
        <v>14.38</v>
      </c>
      <c r="J20" s="229">
        <f t="shared" si="13"/>
        <v>0</v>
      </c>
      <c r="K20" s="223"/>
      <c r="L20" s="125"/>
      <c r="M20" s="230">
        <v>325</v>
      </c>
      <c r="N20" s="231">
        <v>0.871</v>
      </c>
      <c r="O20" s="226">
        <f t="shared" si="14"/>
        <v>0</v>
      </c>
      <c r="P20" s="223"/>
      <c r="Q20" s="5"/>
      <c r="R20" s="154">
        <v>350</v>
      </c>
      <c r="S20" s="219">
        <v>2.3650000000000002</v>
      </c>
      <c r="T20" s="226">
        <f t="shared" si="15"/>
        <v>0</v>
      </c>
      <c r="U20" s="223"/>
      <c r="V20" s="5"/>
      <c r="W20" s="224">
        <v>325</v>
      </c>
      <c r="X20" s="225">
        <v>1.871</v>
      </c>
      <c r="Y20" s="226">
        <f t="shared" si="16"/>
        <v>0</v>
      </c>
      <c r="Z20" s="223"/>
      <c r="AA20" s="125"/>
      <c r="AB20" s="230">
        <v>325</v>
      </c>
      <c r="AC20" s="231">
        <v>14.38</v>
      </c>
      <c r="AD20" s="229">
        <f t="shared" si="17"/>
        <v>0</v>
      </c>
      <c r="AE20" s="223"/>
      <c r="AF20" s="125"/>
      <c r="AG20" s="230">
        <v>325</v>
      </c>
      <c r="AH20" s="231">
        <v>0.871</v>
      </c>
      <c r="AI20" s="226">
        <f t="shared" si="18"/>
        <v>0</v>
      </c>
      <c r="AJ20" s="223"/>
      <c r="AK20" s="5"/>
      <c r="AL20" s="154">
        <v>325</v>
      </c>
      <c r="AM20" s="219">
        <v>1.0409999999999999</v>
      </c>
      <c r="AN20" s="226">
        <f t="shared" si="19"/>
        <v>0</v>
      </c>
      <c r="AO20" s="223"/>
      <c r="AQ20" s="224">
        <v>325</v>
      </c>
      <c r="AR20" s="225">
        <v>1.871</v>
      </c>
      <c r="AS20" s="226">
        <f t="shared" si="20"/>
        <v>0</v>
      </c>
      <c r="AT20" s="223"/>
      <c r="AU20" s="125"/>
      <c r="AV20" s="230">
        <v>325</v>
      </c>
      <c r="AW20" s="231">
        <v>14.38</v>
      </c>
      <c r="AX20" s="229">
        <f t="shared" si="21"/>
        <v>0</v>
      </c>
      <c r="AY20" s="223"/>
      <c r="AZ20" s="125"/>
      <c r="BA20" s="230">
        <v>325</v>
      </c>
      <c r="BB20" s="231">
        <v>0.871</v>
      </c>
      <c r="BC20" s="226">
        <f t="shared" si="22"/>
        <v>0</v>
      </c>
      <c r="BD20" s="223"/>
      <c r="BE20" s="5"/>
      <c r="BF20" s="154">
        <v>350</v>
      </c>
      <c r="BG20" s="219">
        <v>2.3650000000000002</v>
      </c>
      <c r="BH20" s="226">
        <f t="shared" si="23"/>
        <v>0</v>
      </c>
      <c r="BI20" s="223"/>
      <c r="BK20" s="224">
        <v>325</v>
      </c>
      <c r="BL20" s="225">
        <v>1.871</v>
      </c>
      <c r="BM20" s="226">
        <f t="shared" si="24"/>
        <v>0</v>
      </c>
      <c r="BN20" s="223"/>
      <c r="BO20" s="125"/>
      <c r="BP20" s="230">
        <v>325</v>
      </c>
      <c r="BQ20" s="231">
        <v>14.38</v>
      </c>
      <c r="BR20" s="229">
        <f t="shared" si="25"/>
        <v>0</v>
      </c>
      <c r="BS20" s="223"/>
      <c r="BT20" s="125"/>
      <c r="BU20" s="230">
        <v>325</v>
      </c>
      <c r="BV20" s="231">
        <v>0.871</v>
      </c>
      <c r="BW20" s="226">
        <f t="shared" si="26"/>
        <v>0</v>
      </c>
      <c r="BX20" s="223"/>
      <c r="BY20" s="5"/>
      <c r="BZ20" s="154">
        <v>325</v>
      </c>
      <c r="CA20" s="219">
        <v>1.0409999999999999</v>
      </c>
      <c r="CB20" s="226">
        <f t="shared" si="27"/>
        <v>0</v>
      </c>
      <c r="CC20" s="223"/>
      <c r="CE20" s="224">
        <v>325</v>
      </c>
      <c r="CF20" s="225">
        <v>1.871</v>
      </c>
      <c r="CG20" s="226">
        <f t="shared" si="28"/>
        <v>0</v>
      </c>
      <c r="CH20" s="223"/>
      <c r="CI20" s="125"/>
      <c r="CJ20" s="230">
        <v>325</v>
      </c>
      <c r="CK20" s="231">
        <v>14.38</v>
      </c>
      <c r="CL20" s="229">
        <f t="shared" si="29"/>
        <v>0</v>
      </c>
      <c r="CM20" s="223"/>
      <c r="CN20" s="125"/>
      <c r="CO20" s="230">
        <v>325</v>
      </c>
      <c r="CP20" s="231">
        <v>0.871</v>
      </c>
      <c r="CQ20" s="226">
        <f t="shared" si="30"/>
        <v>0</v>
      </c>
      <c r="CR20" s="223"/>
      <c r="CT20" s="154">
        <v>325</v>
      </c>
      <c r="CU20" s="219">
        <v>1.0409999999999999</v>
      </c>
      <c r="CV20" s="226">
        <f t="shared" si="31"/>
        <v>0</v>
      </c>
      <c r="CW20" s="223"/>
      <c r="CY20" s="224">
        <v>325</v>
      </c>
      <c r="CZ20" s="225">
        <v>1.871</v>
      </c>
      <c r="DA20" s="226">
        <f t="shared" si="32"/>
        <v>0</v>
      </c>
      <c r="DB20" s="223"/>
      <c r="DC20" s="125"/>
      <c r="DD20" s="230">
        <v>325</v>
      </c>
      <c r="DE20" s="231">
        <v>14.38</v>
      </c>
      <c r="DF20" s="229">
        <f t="shared" si="33"/>
        <v>0</v>
      </c>
      <c r="DG20" s="223"/>
      <c r="DH20" s="125"/>
      <c r="DI20" s="230">
        <v>325</v>
      </c>
      <c r="DJ20" s="231">
        <v>0.871</v>
      </c>
      <c r="DK20" s="226">
        <f t="shared" si="34"/>
        <v>0</v>
      </c>
      <c r="DL20" s="223"/>
      <c r="DN20" s="154">
        <v>325</v>
      </c>
      <c r="DO20" s="219">
        <v>1.0409999999999999</v>
      </c>
      <c r="DP20" s="226">
        <f t="shared" si="35"/>
        <v>0</v>
      </c>
      <c r="DQ20" s="223"/>
      <c r="DS20" s="224">
        <v>325</v>
      </c>
      <c r="DT20" s="225">
        <v>1.871</v>
      </c>
      <c r="DU20" s="226">
        <f t="shared" si="36"/>
        <v>0</v>
      </c>
      <c r="DV20" s="223"/>
      <c r="DW20" s="125"/>
      <c r="DX20" s="230">
        <v>325</v>
      </c>
      <c r="DY20" s="231">
        <v>14.38</v>
      </c>
      <c r="DZ20" s="229">
        <f t="shared" si="37"/>
        <v>0</v>
      </c>
      <c r="EA20" s="223"/>
      <c r="EB20" s="125"/>
      <c r="EC20" s="230">
        <v>325</v>
      </c>
      <c r="ED20" s="231">
        <v>0.871</v>
      </c>
      <c r="EE20" s="226">
        <f t="shared" si="38"/>
        <v>0</v>
      </c>
      <c r="EF20" s="223"/>
      <c r="EH20" s="154">
        <v>325</v>
      </c>
      <c r="EI20" s="219">
        <v>1.0409999999999999</v>
      </c>
      <c r="EJ20" s="226">
        <f t="shared" si="39"/>
        <v>0</v>
      </c>
      <c r="EK20" s="223"/>
      <c r="EM20" s="230">
        <v>325</v>
      </c>
      <c r="EN20" s="231">
        <v>0.871</v>
      </c>
      <c r="EO20" s="226">
        <f t="shared" si="40"/>
        <v>0</v>
      </c>
      <c r="EP20" s="223"/>
      <c r="EQ20" s="125"/>
      <c r="ER20" s="224"/>
      <c r="ES20" s="224"/>
      <c r="ET20" s="389"/>
      <c r="EU20" s="5"/>
      <c r="EV20" s="125"/>
      <c r="EW20" s="230">
        <v>325</v>
      </c>
      <c r="EX20" s="231">
        <v>0.871</v>
      </c>
      <c r="EY20" s="226">
        <f t="shared" si="41"/>
        <v>0</v>
      </c>
      <c r="EZ20" s="223"/>
      <c r="FA20" s="125"/>
      <c r="FB20" s="224"/>
      <c r="FC20" s="224"/>
      <c r="FD20" s="389"/>
      <c r="FE20" s="5"/>
      <c r="FG20" s="224">
        <v>325</v>
      </c>
      <c r="FH20" s="225">
        <v>1.871</v>
      </c>
      <c r="FI20" s="226">
        <f t="shared" si="42"/>
        <v>0</v>
      </c>
      <c r="FJ20" s="223"/>
      <c r="FK20" s="125"/>
      <c r="FL20" s="230">
        <v>325</v>
      </c>
      <c r="FM20" s="231">
        <v>14.38</v>
      </c>
      <c r="FN20" s="229">
        <f t="shared" si="43"/>
        <v>0</v>
      </c>
      <c r="FO20" s="223"/>
      <c r="FP20" s="125"/>
      <c r="FQ20" s="230">
        <v>325</v>
      </c>
      <c r="FR20" s="231">
        <v>0.871</v>
      </c>
      <c r="FS20" s="226">
        <f t="shared" si="44"/>
        <v>0</v>
      </c>
      <c r="FT20" s="223"/>
      <c r="FV20" s="154">
        <v>325</v>
      </c>
      <c r="FW20" s="219">
        <v>1.0409999999999999</v>
      </c>
      <c r="FX20" s="226">
        <f t="shared" si="45"/>
        <v>0</v>
      </c>
      <c r="FY20" s="223"/>
      <c r="GA20" s="224">
        <v>325</v>
      </c>
      <c r="GB20" s="225">
        <v>1.871</v>
      </c>
      <c r="GC20" s="226">
        <f t="shared" si="46"/>
        <v>1.8732469389565065</v>
      </c>
      <c r="GD20" s="223"/>
      <c r="GE20" s="125"/>
      <c r="GF20" s="230">
        <v>325</v>
      </c>
      <c r="GG20" s="231">
        <v>14.38</v>
      </c>
      <c r="GH20" s="229">
        <f t="shared" si="47"/>
        <v>14.392482994202814</v>
      </c>
      <c r="GI20" s="223"/>
      <c r="GJ20" s="125"/>
      <c r="GK20" s="230">
        <v>325</v>
      </c>
      <c r="GL20" s="231">
        <v>0.871</v>
      </c>
      <c r="GM20" s="226">
        <f t="shared" si="48"/>
        <v>0.87699183721735052</v>
      </c>
      <c r="GN20" s="223"/>
      <c r="GP20" s="154">
        <v>325</v>
      </c>
      <c r="GQ20" s="219">
        <v>1.0409999999999999</v>
      </c>
      <c r="GR20" s="226">
        <f t="shared" si="49"/>
        <v>1.0414993197681124</v>
      </c>
      <c r="GS20" s="223"/>
      <c r="GU20" s="224">
        <v>325</v>
      </c>
      <c r="GV20" s="225">
        <v>1.871</v>
      </c>
      <c r="GW20" s="226">
        <f t="shared" si="50"/>
        <v>0</v>
      </c>
      <c r="GX20" s="223"/>
      <c r="GY20" s="125"/>
      <c r="GZ20" s="230">
        <v>325</v>
      </c>
      <c r="HA20" s="231">
        <v>14.38</v>
      </c>
      <c r="HB20" s="229">
        <f t="shared" si="51"/>
        <v>0</v>
      </c>
      <c r="HC20" s="223"/>
      <c r="HD20" s="125"/>
      <c r="HE20" s="230">
        <v>325</v>
      </c>
      <c r="HF20" s="231">
        <v>0.871</v>
      </c>
      <c r="HG20" s="226">
        <f t="shared" si="52"/>
        <v>0</v>
      </c>
      <c r="HH20" s="223"/>
      <c r="HI20" s="5"/>
      <c r="HJ20" s="154">
        <v>350</v>
      </c>
      <c r="HK20" s="219">
        <v>2.3650000000000002</v>
      </c>
      <c r="HL20" s="226">
        <f t="shared" si="53"/>
        <v>0</v>
      </c>
      <c r="HM20" s="223"/>
      <c r="HO20" s="224">
        <v>325</v>
      </c>
      <c r="HP20" s="225">
        <v>1.871</v>
      </c>
      <c r="HQ20" s="226">
        <f t="shared" si="54"/>
        <v>0</v>
      </c>
      <c r="HR20" s="223"/>
      <c r="HS20" s="125"/>
      <c r="HT20" s="230">
        <v>325</v>
      </c>
      <c r="HU20" s="231">
        <v>14.38</v>
      </c>
      <c r="HV20" s="229">
        <f t="shared" si="55"/>
        <v>0</v>
      </c>
      <c r="HW20" s="223"/>
      <c r="HX20" s="125"/>
      <c r="HY20" s="230">
        <v>325</v>
      </c>
      <c r="HZ20" s="231">
        <v>0.871</v>
      </c>
      <c r="IA20" s="226">
        <f t="shared" si="56"/>
        <v>0</v>
      </c>
      <c r="IB20" s="223"/>
      <c r="IC20" s="5"/>
      <c r="ID20" s="154">
        <v>350</v>
      </c>
      <c r="IE20" s="219">
        <v>2.3650000000000002</v>
      </c>
      <c r="IF20" s="226">
        <f t="shared" si="57"/>
        <v>0</v>
      </c>
      <c r="IG20" s="223"/>
      <c r="II20" s="224">
        <v>325</v>
      </c>
      <c r="IJ20" s="225">
        <v>1.871</v>
      </c>
      <c r="IK20" s="226">
        <f t="shared" si="58"/>
        <v>0</v>
      </c>
      <c r="IL20" s="223"/>
      <c r="IM20" s="125"/>
      <c r="IN20" s="230">
        <v>325</v>
      </c>
      <c r="IO20" s="231">
        <v>14.38</v>
      </c>
      <c r="IP20" s="229">
        <f t="shared" si="59"/>
        <v>0</v>
      </c>
      <c r="IQ20" s="223"/>
      <c r="IR20" s="125"/>
      <c r="IS20" s="230">
        <v>325</v>
      </c>
      <c r="IT20" s="231">
        <v>0.871</v>
      </c>
      <c r="IU20" s="226">
        <f t="shared" si="60"/>
        <v>0</v>
      </c>
      <c r="IV20" s="223"/>
      <c r="IW20" s="5"/>
      <c r="IX20" s="154">
        <v>350</v>
      </c>
      <c r="IY20" s="219">
        <v>2.3650000000000002</v>
      </c>
      <c r="IZ20" s="226">
        <f t="shared" si="61"/>
        <v>0</v>
      </c>
      <c r="JA20" s="223"/>
      <c r="JC20" s="224">
        <v>325</v>
      </c>
      <c r="JD20" s="225">
        <v>1.871</v>
      </c>
      <c r="JE20" s="226">
        <f t="shared" si="62"/>
        <v>0</v>
      </c>
      <c r="JF20" s="223"/>
      <c r="JG20" s="125"/>
      <c r="JH20" s="230">
        <v>325</v>
      </c>
      <c r="JI20" s="231">
        <v>14.38</v>
      </c>
      <c r="JJ20" s="229">
        <f t="shared" si="63"/>
        <v>0</v>
      </c>
      <c r="JK20" s="223"/>
      <c r="JL20" s="125"/>
      <c r="JM20" s="230">
        <v>325</v>
      </c>
      <c r="JN20" s="231">
        <v>0.871</v>
      </c>
      <c r="JO20" s="226">
        <f t="shared" si="64"/>
        <v>0</v>
      </c>
      <c r="JP20" s="223"/>
      <c r="JQ20" s="5"/>
      <c r="JR20" s="154">
        <v>350</v>
      </c>
      <c r="JS20" s="219">
        <v>2.3650000000000002</v>
      </c>
      <c r="JT20" s="226">
        <f t="shared" si="65"/>
        <v>0</v>
      </c>
      <c r="JU20" s="223"/>
      <c r="JW20" s="224">
        <v>325</v>
      </c>
      <c r="JX20" s="225">
        <v>1.871</v>
      </c>
      <c r="JY20" s="226">
        <f t="shared" si="0"/>
        <v>0</v>
      </c>
      <c r="JZ20" s="223"/>
      <c r="KA20" s="125"/>
      <c r="KB20" s="230">
        <v>325</v>
      </c>
      <c r="KC20" s="231">
        <v>14.38</v>
      </c>
      <c r="KD20" s="229">
        <f t="shared" si="1"/>
        <v>0</v>
      </c>
      <c r="KE20" s="223"/>
      <c r="KF20" s="125"/>
      <c r="KG20" s="230">
        <v>325</v>
      </c>
      <c r="KH20" s="231">
        <v>0.871</v>
      </c>
      <c r="KI20" s="226">
        <f t="shared" si="2"/>
        <v>0</v>
      </c>
      <c r="KJ20" s="223"/>
      <c r="KK20" s="5"/>
      <c r="KL20" s="154">
        <v>350</v>
      </c>
      <c r="KM20" s="219">
        <v>2.3650000000000002</v>
      </c>
      <c r="KN20" s="226">
        <f t="shared" si="3"/>
        <v>0</v>
      </c>
      <c r="KO20" s="223"/>
      <c r="KQ20" s="224">
        <v>325</v>
      </c>
      <c r="KR20" s="225">
        <v>1.871</v>
      </c>
      <c r="KS20" s="226">
        <f t="shared" si="4"/>
        <v>0</v>
      </c>
      <c r="KT20" s="223"/>
      <c r="KU20" s="125"/>
      <c r="KV20" s="230">
        <v>325</v>
      </c>
      <c r="KW20" s="231">
        <v>14.38</v>
      </c>
      <c r="KX20" s="229">
        <f t="shared" si="5"/>
        <v>0</v>
      </c>
      <c r="KY20" s="223"/>
      <c r="KZ20" s="125"/>
      <c r="LA20" s="230">
        <v>325</v>
      </c>
      <c r="LB20" s="231">
        <v>0.871</v>
      </c>
      <c r="LC20" s="226">
        <f t="shared" si="6"/>
        <v>0</v>
      </c>
      <c r="LD20" s="223"/>
      <c r="LE20" s="5"/>
      <c r="LF20" s="154">
        <v>350</v>
      </c>
      <c r="LG20" s="219">
        <v>2.3650000000000002</v>
      </c>
      <c r="LH20" s="226">
        <f t="shared" si="7"/>
        <v>0</v>
      </c>
      <c r="LI20" s="223"/>
      <c r="LK20" s="224">
        <v>325</v>
      </c>
      <c r="LL20" s="225">
        <v>1.871</v>
      </c>
      <c r="LM20" s="226" t="e">
        <f t="shared" si="8"/>
        <v>#REF!</v>
      </c>
      <c r="LN20" s="223"/>
      <c r="LO20" s="125"/>
      <c r="LP20" s="230">
        <v>325</v>
      </c>
      <c r="LQ20" s="231">
        <v>14.38</v>
      </c>
      <c r="LR20" s="229" t="e">
        <f t="shared" si="9"/>
        <v>#REF!</v>
      </c>
      <c r="LS20" s="223"/>
      <c r="LT20" s="125"/>
      <c r="LU20" s="230">
        <v>325</v>
      </c>
      <c r="LV20" s="231">
        <v>0.871</v>
      </c>
      <c r="LW20" s="226" t="e">
        <f t="shared" si="10"/>
        <v>#REF!</v>
      </c>
      <c r="LX20" s="223"/>
      <c r="LY20" s="5"/>
      <c r="LZ20" s="154">
        <v>350</v>
      </c>
      <c r="MA20" s="219">
        <v>2.3650000000000002</v>
      </c>
      <c r="MB20" s="226" t="e">
        <f t="shared" si="11"/>
        <v>#REF!</v>
      </c>
      <c r="MC20" s="223"/>
    </row>
    <row r="21" spans="2:341" ht="16" thickBot="1" x14ac:dyDescent="0.25">
      <c r="B21" s="125"/>
      <c r="C21" s="224">
        <v>350</v>
      </c>
      <c r="D21" s="225">
        <v>1.88</v>
      </c>
      <c r="E21" s="226">
        <f t="shared" si="12"/>
        <v>0</v>
      </c>
      <c r="F21" s="223"/>
      <c r="G21" s="125"/>
      <c r="H21" s="230">
        <v>350</v>
      </c>
      <c r="I21" s="231">
        <v>14.43</v>
      </c>
      <c r="J21" s="229">
        <f t="shared" si="13"/>
        <v>0</v>
      </c>
      <c r="K21" s="223"/>
      <c r="L21" s="125"/>
      <c r="M21" s="230">
        <v>350</v>
      </c>
      <c r="N21" s="231">
        <v>0.89500000000000002</v>
      </c>
      <c r="O21" s="226">
        <f t="shared" si="14"/>
        <v>0</v>
      </c>
      <c r="P21" s="223"/>
      <c r="Q21" s="5"/>
      <c r="R21" s="154">
        <v>375</v>
      </c>
      <c r="S21" s="219">
        <v>2.4420000000000002</v>
      </c>
      <c r="T21" s="226">
        <f t="shared" si="15"/>
        <v>0</v>
      </c>
      <c r="U21" s="223"/>
      <c r="V21" s="5"/>
      <c r="W21" s="224">
        <v>350</v>
      </c>
      <c r="X21" s="225">
        <v>1.88</v>
      </c>
      <c r="Y21" s="226">
        <f t="shared" si="16"/>
        <v>0</v>
      </c>
      <c r="Z21" s="223"/>
      <c r="AA21" s="125"/>
      <c r="AB21" s="230">
        <v>350</v>
      </c>
      <c r="AC21" s="231">
        <v>14.43</v>
      </c>
      <c r="AD21" s="229">
        <f t="shared" si="17"/>
        <v>0</v>
      </c>
      <c r="AE21" s="223"/>
      <c r="AF21" s="125"/>
      <c r="AG21" s="230">
        <v>350</v>
      </c>
      <c r="AH21" s="231">
        <v>0.89500000000000002</v>
      </c>
      <c r="AI21" s="226">
        <f t="shared" si="18"/>
        <v>0</v>
      </c>
      <c r="AJ21" s="223"/>
      <c r="AK21" s="5"/>
      <c r="AL21" s="154">
        <v>350</v>
      </c>
      <c r="AM21" s="219">
        <v>1.0429999999999999</v>
      </c>
      <c r="AN21" s="226">
        <f t="shared" si="19"/>
        <v>0</v>
      </c>
      <c r="AO21" s="223"/>
      <c r="AQ21" s="224">
        <v>350</v>
      </c>
      <c r="AR21" s="225">
        <v>1.88</v>
      </c>
      <c r="AS21" s="226">
        <f t="shared" si="20"/>
        <v>0</v>
      </c>
      <c r="AT21" s="223"/>
      <c r="AU21" s="125"/>
      <c r="AV21" s="230">
        <v>350</v>
      </c>
      <c r="AW21" s="231">
        <v>14.43</v>
      </c>
      <c r="AX21" s="229">
        <f t="shared" si="21"/>
        <v>0</v>
      </c>
      <c r="AY21" s="223"/>
      <c r="AZ21" s="125"/>
      <c r="BA21" s="230">
        <v>350</v>
      </c>
      <c r="BB21" s="231">
        <v>0.89500000000000002</v>
      </c>
      <c r="BC21" s="226">
        <f t="shared" si="22"/>
        <v>0</v>
      </c>
      <c r="BD21" s="223"/>
      <c r="BE21" s="5"/>
      <c r="BF21" s="154">
        <v>375</v>
      </c>
      <c r="BG21" s="219">
        <v>2.4420000000000002</v>
      </c>
      <c r="BH21" s="226">
        <f t="shared" si="23"/>
        <v>0</v>
      </c>
      <c r="BI21" s="223"/>
      <c r="BK21" s="224">
        <v>350</v>
      </c>
      <c r="BL21" s="225">
        <v>1.88</v>
      </c>
      <c r="BM21" s="226">
        <f t="shared" si="24"/>
        <v>0</v>
      </c>
      <c r="BN21" s="223"/>
      <c r="BO21" s="125"/>
      <c r="BP21" s="230">
        <v>350</v>
      </c>
      <c r="BQ21" s="231">
        <v>14.43</v>
      </c>
      <c r="BR21" s="229">
        <f t="shared" si="25"/>
        <v>0</v>
      </c>
      <c r="BS21" s="223"/>
      <c r="BT21" s="125"/>
      <c r="BU21" s="230">
        <v>350</v>
      </c>
      <c r="BV21" s="231">
        <v>0.89500000000000002</v>
      </c>
      <c r="BW21" s="226">
        <f t="shared" si="26"/>
        <v>0</v>
      </c>
      <c r="BX21" s="223"/>
      <c r="BY21" s="5"/>
      <c r="BZ21" s="154">
        <v>350</v>
      </c>
      <c r="CA21" s="219">
        <v>1.0429999999999999</v>
      </c>
      <c r="CB21" s="226">
        <f t="shared" si="27"/>
        <v>0</v>
      </c>
      <c r="CC21" s="223"/>
      <c r="CE21" s="224">
        <v>350</v>
      </c>
      <c r="CF21" s="225">
        <v>1.88</v>
      </c>
      <c r="CG21" s="226">
        <f t="shared" si="28"/>
        <v>0</v>
      </c>
      <c r="CH21" s="223"/>
      <c r="CI21" s="125"/>
      <c r="CJ21" s="230">
        <v>350</v>
      </c>
      <c r="CK21" s="231">
        <v>14.43</v>
      </c>
      <c r="CL21" s="229">
        <f t="shared" si="29"/>
        <v>0</v>
      </c>
      <c r="CM21" s="223"/>
      <c r="CN21" s="125"/>
      <c r="CO21" s="230">
        <v>350</v>
      </c>
      <c r="CP21" s="231">
        <v>0.89500000000000002</v>
      </c>
      <c r="CQ21" s="226">
        <f t="shared" si="30"/>
        <v>0</v>
      </c>
      <c r="CR21" s="223"/>
      <c r="CT21" s="154">
        <v>350</v>
      </c>
      <c r="CU21" s="219">
        <v>1.0429999999999999</v>
      </c>
      <c r="CV21" s="226">
        <f t="shared" si="31"/>
        <v>0</v>
      </c>
      <c r="CW21" s="223"/>
      <c r="CY21" s="224">
        <v>350</v>
      </c>
      <c r="CZ21" s="225">
        <v>1.88</v>
      </c>
      <c r="DA21" s="226">
        <f t="shared" si="32"/>
        <v>0</v>
      </c>
      <c r="DB21" s="223"/>
      <c r="DC21" s="125"/>
      <c r="DD21" s="230">
        <v>350</v>
      </c>
      <c r="DE21" s="231">
        <v>14.43</v>
      </c>
      <c r="DF21" s="229">
        <f t="shared" si="33"/>
        <v>0</v>
      </c>
      <c r="DG21" s="223"/>
      <c r="DH21" s="125"/>
      <c r="DI21" s="230">
        <v>350</v>
      </c>
      <c r="DJ21" s="231">
        <v>0.89500000000000002</v>
      </c>
      <c r="DK21" s="226">
        <f t="shared" si="34"/>
        <v>0</v>
      </c>
      <c r="DL21" s="223"/>
      <c r="DN21" s="154">
        <v>350</v>
      </c>
      <c r="DO21" s="219">
        <v>1.0429999999999999</v>
      </c>
      <c r="DP21" s="226">
        <f t="shared" si="35"/>
        <v>0</v>
      </c>
      <c r="DQ21" s="223"/>
      <c r="DS21" s="224">
        <v>350</v>
      </c>
      <c r="DT21" s="225">
        <v>1.88</v>
      </c>
      <c r="DU21" s="226">
        <f t="shared" si="36"/>
        <v>0</v>
      </c>
      <c r="DV21" s="223"/>
      <c r="DW21" s="125"/>
      <c r="DX21" s="230">
        <v>350</v>
      </c>
      <c r="DY21" s="231">
        <v>14.43</v>
      </c>
      <c r="DZ21" s="229">
        <f t="shared" si="37"/>
        <v>0</v>
      </c>
      <c r="EA21" s="223"/>
      <c r="EB21" s="125"/>
      <c r="EC21" s="230">
        <v>350</v>
      </c>
      <c r="ED21" s="231">
        <v>0.89500000000000002</v>
      </c>
      <c r="EE21" s="226">
        <f t="shared" si="38"/>
        <v>0</v>
      </c>
      <c r="EF21" s="223"/>
      <c r="EH21" s="154">
        <v>350</v>
      </c>
      <c r="EI21" s="219">
        <v>1.0429999999999999</v>
      </c>
      <c r="EJ21" s="226">
        <f t="shared" si="39"/>
        <v>0</v>
      </c>
      <c r="EK21" s="223"/>
      <c r="EM21" s="230">
        <v>350</v>
      </c>
      <c r="EN21" s="231">
        <v>0.89500000000000002</v>
      </c>
      <c r="EO21" s="226">
        <f t="shared" si="40"/>
        <v>0</v>
      </c>
      <c r="EP21" s="223"/>
      <c r="EQ21" s="125"/>
      <c r="ER21" s="224"/>
      <c r="ES21" s="224"/>
      <c r="ET21" s="389"/>
      <c r="EU21" s="5"/>
      <c r="EV21" s="125"/>
      <c r="EW21" s="230">
        <v>350</v>
      </c>
      <c r="EX21" s="231">
        <v>0.89500000000000002</v>
      </c>
      <c r="EY21" s="226">
        <f t="shared" si="41"/>
        <v>0.89751469593374822</v>
      </c>
      <c r="EZ21" s="223"/>
      <c r="FA21" s="125"/>
      <c r="FB21" s="224"/>
      <c r="FC21" s="224"/>
      <c r="FD21" s="389"/>
      <c r="FE21" s="5"/>
      <c r="FG21" s="224">
        <v>350</v>
      </c>
      <c r="FH21" s="225">
        <v>1.88</v>
      </c>
      <c r="FI21" s="226">
        <f t="shared" si="42"/>
        <v>0</v>
      </c>
      <c r="FJ21" s="223"/>
      <c r="FK21" s="125"/>
      <c r="FL21" s="230">
        <v>350</v>
      </c>
      <c r="FM21" s="231">
        <v>14.43</v>
      </c>
      <c r="FN21" s="229">
        <f t="shared" si="43"/>
        <v>0</v>
      </c>
      <c r="FO21" s="223"/>
      <c r="FP21" s="125"/>
      <c r="FQ21" s="230">
        <v>350</v>
      </c>
      <c r="FR21" s="231">
        <v>0.89500000000000002</v>
      </c>
      <c r="FS21" s="226">
        <f t="shared" si="44"/>
        <v>0</v>
      </c>
      <c r="FT21" s="223"/>
      <c r="FV21" s="154">
        <v>350</v>
      </c>
      <c r="FW21" s="219">
        <v>1.0429999999999999</v>
      </c>
      <c r="FX21" s="226">
        <f t="shared" si="45"/>
        <v>0</v>
      </c>
      <c r="FY21" s="223"/>
      <c r="GA21" s="224">
        <v>350</v>
      </c>
      <c r="GB21" s="225">
        <v>1.88</v>
      </c>
      <c r="GC21" s="226">
        <f t="shared" si="46"/>
        <v>0</v>
      </c>
      <c r="GD21" s="223"/>
      <c r="GE21" s="125"/>
      <c r="GF21" s="230">
        <v>350</v>
      </c>
      <c r="GG21" s="231">
        <v>14.43</v>
      </c>
      <c r="GH21" s="229">
        <f t="shared" si="47"/>
        <v>0</v>
      </c>
      <c r="GI21" s="223"/>
      <c r="GJ21" s="125"/>
      <c r="GK21" s="230">
        <v>350</v>
      </c>
      <c r="GL21" s="231">
        <v>0.89500000000000002</v>
      </c>
      <c r="GM21" s="226">
        <f t="shared" si="48"/>
        <v>0</v>
      </c>
      <c r="GN21" s="223"/>
      <c r="GP21" s="154">
        <v>350</v>
      </c>
      <c r="GQ21" s="219">
        <v>1.0429999999999999</v>
      </c>
      <c r="GR21" s="226">
        <f t="shared" si="49"/>
        <v>0</v>
      </c>
      <c r="GS21" s="223"/>
      <c r="GU21" s="224">
        <v>350</v>
      </c>
      <c r="GV21" s="225">
        <v>1.88</v>
      </c>
      <c r="GW21" s="226">
        <f t="shared" si="50"/>
        <v>0</v>
      </c>
      <c r="GX21" s="223"/>
      <c r="GY21" s="125"/>
      <c r="GZ21" s="230">
        <v>350</v>
      </c>
      <c r="HA21" s="231">
        <v>14.43</v>
      </c>
      <c r="HB21" s="229">
        <f t="shared" si="51"/>
        <v>0</v>
      </c>
      <c r="HC21" s="223"/>
      <c r="HD21" s="125"/>
      <c r="HE21" s="230">
        <v>350</v>
      </c>
      <c r="HF21" s="231">
        <v>0.89500000000000002</v>
      </c>
      <c r="HG21" s="226">
        <f t="shared" si="52"/>
        <v>0</v>
      </c>
      <c r="HH21" s="223"/>
      <c r="HI21" s="5"/>
      <c r="HJ21" s="154">
        <v>375</v>
      </c>
      <c r="HK21" s="219">
        <v>2.4420000000000002</v>
      </c>
      <c r="HL21" s="226">
        <f t="shared" si="53"/>
        <v>2.4630828110829803</v>
      </c>
      <c r="HM21" s="223"/>
      <c r="HO21" s="224">
        <v>350</v>
      </c>
      <c r="HP21" s="225">
        <v>1.88</v>
      </c>
      <c r="HQ21" s="226">
        <f t="shared" si="54"/>
        <v>0</v>
      </c>
      <c r="HR21" s="223"/>
      <c r="HS21" s="125"/>
      <c r="HT21" s="230">
        <v>350</v>
      </c>
      <c r="HU21" s="231">
        <v>14.43</v>
      </c>
      <c r="HV21" s="229">
        <f t="shared" si="55"/>
        <v>0</v>
      </c>
      <c r="HW21" s="223"/>
      <c r="HX21" s="125"/>
      <c r="HY21" s="230">
        <v>350</v>
      </c>
      <c r="HZ21" s="231">
        <v>0.89500000000000002</v>
      </c>
      <c r="IA21" s="226">
        <f t="shared" si="56"/>
        <v>0</v>
      </c>
      <c r="IB21" s="223"/>
      <c r="IC21" s="5"/>
      <c r="ID21" s="154">
        <v>375</v>
      </c>
      <c r="IE21" s="219">
        <v>2.4420000000000002</v>
      </c>
      <c r="IF21" s="226">
        <f t="shared" si="57"/>
        <v>0</v>
      </c>
      <c r="IG21" s="223"/>
      <c r="II21" s="224">
        <v>350</v>
      </c>
      <c r="IJ21" s="225">
        <v>1.88</v>
      </c>
      <c r="IK21" s="226">
        <f t="shared" si="58"/>
        <v>0</v>
      </c>
      <c r="IL21" s="223"/>
      <c r="IM21" s="125"/>
      <c r="IN21" s="230">
        <v>350</v>
      </c>
      <c r="IO21" s="231">
        <v>14.43</v>
      </c>
      <c r="IP21" s="229">
        <f t="shared" si="59"/>
        <v>0</v>
      </c>
      <c r="IQ21" s="223"/>
      <c r="IR21" s="125"/>
      <c r="IS21" s="230">
        <v>350</v>
      </c>
      <c r="IT21" s="231">
        <v>0.89500000000000002</v>
      </c>
      <c r="IU21" s="226">
        <f t="shared" si="60"/>
        <v>0</v>
      </c>
      <c r="IV21" s="223"/>
      <c r="IW21" s="5"/>
      <c r="IX21" s="154">
        <v>375</v>
      </c>
      <c r="IY21" s="219">
        <v>2.4420000000000002</v>
      </c>
      <c r="IZ21" s="226">
        <f t="shared" si="61"/>
        <v>0</v>
      </c>
      <c r="JA21" s="223"/>
      <c r="JC21" s="224">
        <v>350</v>
      </c>
      <c r="JD21" s="225">
        <v>1.88</v>
      </c>
      <c r="JE21" s="226">
        <f t="shared" si="62"/>
        <v>0</v>
      </c>
      <c r="JF21" s="223"/>
      <c r="JG21" s="125"/>
      <c r="JH21" s="230">
        <v>350</v>
      </c>
      <c r="JI21" s="231">
        <v>14.43</v>
      </c>
      <c r="JJ21" s="229">
        <f t="shared" si="63"/>
        <v>0</v>
      </c>
      <c r="JK21" s="223"/>
      <c r="JL21" s="125"/>
      <c r="JM21" s="230">
        <v>350</v>
      </c>
      <c r="JN21" s="231">
        <v>0.89500000000000002</v>
      </c>
      <c r="JO21" s="226">
        <f t="shared" si="64"/>
        <v>0</v>
      </c>
      <c r="JP21" s="223"/>
      <c r="JQ21" s="5"/>
      <c r="JR21" s="154">
        <v>375</v>
      </c>
      <c r="JS21" s="219">
        <v>2.4420000000000002</v>
      </c>
      <c r="JT21" s="226">
        <f t="shared" si="65"/>
        <v>2.4790815810648734</v>
      </c>
      <c r="JU21" s="223"/>
      <c r="JW21" s="224">
        <v>350</v>
      </c>
      <c r="JX21" s="225">
        <v>1.88</v>
      </c>
      <c r="JY21" s="226">
        <f t="shared" si="0"/>
        <v>0</v>
      </c>
      <c r="JZ21" s="223"/>
      <c r="KA21" s="125"/>
      <c r="KB21" s="230">
        <v>350</v>
      </c>
      <c r="KC21" s="231">
        <v>14.43</v>
      </c>
      <c r="KD21" s="229">
        <f t="shared" si="1"/>
        <v>0</v>
      </c>
      <c r="KE21" s="223"/>
      <c r="KF21" s="125"/>
      <c r="KG21" s="230">
        <v>350</v>
      </c>
      <c r="KH21" s="231">
        <v>0.89500000000000002</v>
      </c>
      <c r="KI21" s="226">
        <f t="shared" si="2"/>
        <v>0</v>
      </c>
      <c r="KJ21" s="223"/>
      <c r="KK21" s="5"/>
      <c r="KL21" s="154">
        <v>375</v>
      </c>
      <c r="KM21" s="219">
        <v>2.4420000000000002</v>
      </c>
      <c r="KN21" s="226">
        <f t="shared" si="3"/>
        <v>0</v>
      </c>
      <c r="KO21" s="223"/>
      <c r="KQ21" s="224">
        <v>350</v>
      </c>
      <c r="KR21" s="225">
        <v>1.88</v>
      </c>
      <c r="KS21" s="226">
        <f t="shared" si="4"/>
        <v>0</v>
      </c>
      <c r="KT21" s="223"/>
      <c r="KU21" s="125"/>
      <c r="KV21" s="230">
        <v>350</v>
      </c>
      <c r="KW21" s="231">
        <v>14.43</v>
      </c>
      <c r="KX21" s="229">
        <f t="shared" si="5"/>
        <v>0</v>
      </c>
      <c r="KY21" s="223"/>
      <c r="KZ21" s="125"/>
      <c r="LA21" s="230">
        <v>350</v>
      </c>
      <c r="LB21" s="231">
        <v>0.89500000000000002</v>
      </c>
      <c r="LC21" s="226">
        <f t="shared" si="6"/>
        <v>0</v>
      </c>
      <c r="LD21" s="223"/>
      <c r="LE21" s="5"/>
      <c r="LF21" s="154">
        <v>375</v>
      </c>
      <c r="LG21" s="219">
        <v>2.4420000000000002</v>
      </c>
      <c r="LH21" s="226">
        <f t="shared" si="7"/>
        <v>0</v>
      </c>
      <c r="LI21" s="223"/>
      <c r="LK21" s="224">
        <v>350</v>
      </c>
      <c r="LL21" s="225">
        <v>1.88</v>
      </c>
      <c r="LM21" s="226" t="e">
        <f t="shared" si="8"/>
        <v>#REF!</v>
      </c>
      <c r="LN21" s="223"/>
      <c r="LO21" s="125"/>
      <c r="LP21" s="230">
        <v>350</v>
      </c>
      <c r="LQ21" s="231">
        <v>14.43</v>
      </c>
      <c r="LR21" s="229" t="e">
        <f t="shared" si="9"/>
        <v>#REF!</v>
      </c>
      <c r="LS21" s="223"/>
      <c r="LT21" s="125"/>
      <c r="LU21" s="230">
        <v>350</v>
      </c>
      <c r="LV21" s="231">
        <v>0.89500000000000002</v>
      </c>
      <c r="LW21" s="226" t="e">
        <f t="shared" si="10"/>
        <v>#REF!</v>
      </c>
      <c r="LX21" s="223"/>
      <c r="LY21" s="5"/>
      <c r="LZ21" s="154">
        <v>375</v>
      </c>
      <c r="MA21" s="219">
        <v>2.4420000000000002</v>
      </c>
      <c r="MB21" s="226" t="e">
        <f t="shared" si="11"/>
        <v>#REF!</v>
      </c>
      <c r="MC21" s="223"/>
    </row>
    <row r="22" spans="2:341" ht="16" thickBot="1" x14ac:dyDescent="0.25">
      <c r="B22" s="125"/>
      <c r="C22" s="224">
        <v>375</v>
      </c>
      <c r="D22" s="225">
        <v>1.89</v>
      </c>
      <c r="E22" s="226">
        <f t="shared" si="12"/>
        <v>0</v>
      </c>
      <c r="F22" s="223"/>
      <c r="G22" s="125"/>
      <c r="H22" s="230">
        <v>375</v>
      </c>
      <c r="I22" s="231">
        <v>14.46</v>
      </c>
      <c r="J22" s="229">
        <f t="shared" si="13"/>
        <v>0</v>
      </c>
      <c r="K22" s="223"/>
      <c r="L22" s="125"/>
      <c r="M22" s="230">
        <v>375</v>
      </c>
      <c r="N22" s="231">
        <v>0.91800000000000004</v>
      </c>
      <c r="O22" s="226">
        <f t="shared" si="14"/>
        <v>0</v>
      </c>
      <c r="P22" s="223"/>
      <c r="Q22" s="5"/>
      <c r="R22" s="154">
        <v>400</v>
      </c>
      <c r="S22" s="219">
        <v>2.5249999999999999</v>
      </c>
      <c r="T22" s="226">
        <f t="shared" si="15"/>
        <v>0</v>
      </c>
      <c r="U22" s="223"/>
      <c r="V22" s="5"/>
      <c r="W22" s="224">
        <v>375</v>
      </c>
      <c r="X22" s="225">
        <v>1.89</v>
      </c>
      <c r="Y22" s="226">
        <f t="shared" si="16"/>
        <v>0</v>
      </c>
      <c r="Z22" s="223"/>
      <c r="AA22" s="125"/>
      <c r="AB22" s="230">
        <v>375</v>
      </c>
      <c r="AC22" s="231">
        <v>14.46</v>
      </c>
      <c r="AD22" s="229">
        <f t="shared" si="17"/>
        <v>0</v>
      </c>
      <c r="AE22" s="223"/>
      <c r="AF22" s="125"/>
      <c r="AG22" s="230">
        <v>375</v>
      </c>
      <c r="AH22" s="231">
        <v>0.91800000000000004</v>
      </c>
      <c r="AI22" s="226">
        <f t="shared" si="18"/>
        <v>0</v>
      </c>
      <c r="AJ22" s="223"/>
      <c r="AK22" s="5"/>
      <c r="AL22" s="154">
        <v>375</v>
      </c>
      <c r="AM22" s="219">
        <v>1.0449999999999999</v>
      </c>
      <c r="AN22" s="226">
        <f t="shared" si="19"/>
        <v>0</v>
      </c>
      <c r="AO22" s="223"/>
      <c r="AQ22" s="224">
        <v>375</v>
      </c>
      <c r="AR22" s="225">
        <v>1.89</v>
      </c>
      <c r="AS22" s="226">
        <f t="shared" si="20"/>
        <v>0</v>
      </c>
      <c r="AT22" s="223"/>
      <c r="AU22" s="125"/>
      <c r="AV22" s="230">
        <v>375</v>
      </c>
      <c r="AW22" s="231">
        <v>14.46</v>
      </c>
      <c r="AX22" s="229">
        <f t="shared" si="21"/>
        <v>0</v>
      </c>
      <c r="AY22" s="223"/>
      <c r="AZ22" s="125"/>
      <c r="BA22" s="230">
        <v>375</v>
      </c>
      <c r="BB22" s="231">
        <v>0.91800000000000004</v>
      </c>
      <c r="BC22" s="226">
        <f t="shared" si="22"/>
        <v>0</v>
      </c>
      <c r="BD22" s="223"/>
      <c r="BE22" s="5"/>
      <c r="BF22" s="154">
        <v>400</v>
      </c>
      <c r="BG22" s="219">
        <v>2.5249999999999999</v>
      </c>
      <c r="BH22" s="226">
        <f t="shared" si="23"/>
        <v>0</v>
      </c>
      <c r="BI22" s="223"/>
      <c r="BK22" s="224">
        <v>375</v>
      </c>
      <c r="BL22" s="225">
        <v>1.89</v>
      </c>
      <c r="BM22" s="226">
        <f t="shared" si="24"/>
        <v>0</v>
      </c>
      <c r="BN22" s="223"/>
      <c r="BO22" s="125"/>
      <c r="BP22" s="230">
        <v>375</v>
      </c>
      <c r="BQ22" s="231">
        <v>14.46</v>
      </c>
      <c r="BR22" s="229">
        <f t="shared" si="25"/>
        <v>0</v>
      </c>
      <c r="BS22" s="223"/>
      <c r="BT22" s="125"/>
      <c r="BU22" s="230">
        <v>375</v>
      </c>
      <c r="BV22" s="231">
        <v>0.91800000000000004</v>
      </c>
      <c r="BW22" s="226">
        <f t="shared" si="26"/>
        <v>0</v>
      </c>
      <c r="BX22" s="223"/>
      <c r="BY22" s="5"/>
      <c r="BZ22" s="154">
        <v>375</v>
      </c>
      <c r="CA22" s="219">
        <v>1.0449999999999999</v>
      </c>
      <c r="CB22" s="226">
        <f t="shared" si="27"/>
        <v>0</v>
      </c>
      <c r="CC22" s="223"/>
      <c r="CE22" s="224">
        <v>375</v>
      </c>
      <c r="CF22" s="225">
        <v>1.89</v>
      </c>
      <c r="CG22" s="226">
        <f t="shared" si="28"/>
        <v>0</v>
      </c>
      <c r="CH22" s="223"/>
      <c r="CI22" s="125"/>
      <c r="CJ22" s="230">
        <v>375</v>
      </c>
      <c r="CK22" s="231">
        <v>14.46</v>
      </c>
      <c r="CL22" s="229">
        <f t="shared" si="29"/>
        <v>0</v>
      </c>
      <c r="CM22" s="223"/>
      <c r="CN22" s="125"/>
      <c r="CO22" s="230">
        <v>375</v>
      </c>
      <c r="CP22" s="231">
        <v>0.91800000000000004</v>
      </c>
      <c r="CQ22" s="226">
        <f t="shared" si="30"/>
        <v>0</v>
      </c>
      <c r="CR22" s="223"/>
      <c r="CT22" s="154">
        <v>375</v>
      </c>
      <c r="CU22" s="219">
        <v>1.0449999999999999</v>
      </c>
      <c r="CV22" s="226">
        <f t="shared" si="31"/>
        <v>0</v>
      </c>
      <c r="CW22" s="223"/>
      <c r="CY22" s="224">
        <v>375</v>
      </c>
      <c r="CZ22" s="225">
        <v>1.89</v>
      </c>
      <c r="DA22" s="226">
        <f t="shared" si="32"/>
        <v>0</v>
      </c>
      <c r="DB22" s="223"/>
      <c r="DC22" s="125"/>
      <c r="DD22" s="230">
        <v>375</v>
      </c>
      <c r="DE22" s="231">
        <v>14.46</v>
      </c>
      <c r="DF22" s="229">
        <f t="shared" si="33"/>
        <v>0</v>
      </c>
      <c r="DG22" s="223"/>
      <c r="DH22" s="125"/>
      <c r="DI22" s="230">
        <v>375</v>
      </c>
      <c r="DJ22" s="231">
        <v>0.91800000000000004</v>
      </c>
      <c r="DK22" s="226">
        <f t="shared" si="34"/>
        <v>0</v>
      </c>
      <c r="DL22" s="223"/>
      <c r="DN22" s="154">
        <v>375</v>
      </c>
      <c r="DO22" s="219">
        <v>1.0449999999999999</v>
      </c>
      <c r="DP22" s="226">
        <f t="shared" si="35"/>
        <v>0</v>
      </c>
      <c r="DQ22" s="223"/>
      <c r="DS22" s="224">
        <v>375</v>
      </c>
      <c r="DT22" s="225">
        <v>1.89</v>
      </c>
      <c r="DU22" s="226">
        <f t="shared" si="36"/>
        <v>0</v>
      </c>
      <c r="DV22" s="223"/>
      <c r="DW22" s="125"/>
      <c r="DX22" s="230">
        <v>375</v>
      </c>
      <c r="DY22" s="231">
        <v>14.46</v>
      </c>
      <c r="DZ22" s="229">
        <f t="shared" si="37"/>
        <v>0</v>
      </c>
      <c r="EA22" s="223"/>
      <c r="EB22" s="125"/>
      <c r="EC22" s="230">
        <v>375</v>
      </c>
      <c r="ED22" s="231">
        <v>0.91800000000000004</v>
      </c>
      <c r="EE22" s="226">
        <f t="shared" si="38"/>
        <v>0</v>
      </c>
      <c r="EF22" s="223"/>
      <c r="EH22" s="154">
        <v>375</v>
      </c>
      <c r="EI22" s="219">
        <v>1.0449999999999999</v>
      </c>
      <c r="EJ22" s="226">
        <f t="shared" si="39"/>
        <v>0</v>
      </c>
      <c r="EK22" s="223"/>
      <c r="EM22" s="230">
        <v>375</v>
      </c>
      <c r="EN22" s="231">
        <v>0.91800000000000004</v>
      </c>
      <c r="EO22" s="226">
        <f t="shared" si="40"/>
        <v>0</v>
      </c>
      <c r="EP22" s="223"/>
      <c r="EQ22" s="125"/>
      <c r="ER22" s="224"/>
      <c r="ES22" s="224"/>
      <c r="ET22" s="389"/>
      <c r="EU22" s="5"/>
      <c r="EV22" s="125"/>
      <c r="EW22" s="230">
        <v>375</v>
      </c>
      <c r="EX22" s="231">
        <v>0.91800000000000004</v>
      </c>
      <c r="EY22" s="226">
        <f t="shared" si="41"/>
        <v>0</v>
      </c>
      <c r="EZ22" s="223"/>
      <c r="FA22" s="125"/>
      <c r="FB22" s="224"/>
      <c r="FC22" s="224"/>
      <c r="FD22" s="389"/>
      <c r="FE22" s="5"/>
      <c r="FG22" s="224">
        <v>375</v>
      </c>
      <c r="FH22" s="225">
        <v>1.89</v>
      </c>
      <c r="FI22" s="226">
        <f t="shared" si="42"/>
        <v>0</v>
      </c>
      <c r="FJ22" s="223"/>
      <c r="FK22" s="125"/>
      <c r="FL22" s="230">
        <v>375</v>
      </c>
      <c r="FM22" s="231">
        <v>14.46</v>
      </c>
      <c r="FN22" s="229">
        <f t="shared" si="43"/>
        <v>0</v>
      </c>
      <c r="FO22" s="223"/>
      <c r="FP22" s="125"/>
      <c r="FQ22" s="230">
        <v>375</v>
      </c>
      <c r="FR22" s="231">
        <v>0.91800000000000004</v>
      </c>
      <c r="FS22" s="226">
        <f t="shared" si="44"/>
        <v>0</v>
      </c>
      <c r="FT22" s="223"/>
      <c r="FV22" s="154">
        <v>375</v>
      </c>
      <c r="FW22" s="219">
        <v>1.0449999999999999</v>
      </c>
      <c r="FX22" s="226">
        <f t="shared" si="45"/>
        <v>0</v>
      </c>
      <c r="FY22" s="223"/>
      <c r="GA22" s="224">
        <v>375</v>
      </c>
      <c r="GB22" s="225">
        <v>1.89</v>
      </c>
      <c r="GC22" s="226">
        <f t="shared" si="46"/>
        <v>0</v>
      </c>
      <c r="GD22" s="223"/>
      <c r="GE22" s="125"/>
      <c r="GF22" s="230">
        <v>375</v>
      </c>
      <c r="GG22" s="231">
        <v>14.46</v>
      </c>
      <c r="GH22" s="229">
        <f t="shared" si="47"/>
        <v>0</v>
      </c>
      <c r="GI22" s="223"/>
      <c r="GJ22" s="125"/>
      <c r="GK22" s="230">
        <v>375</v>
      </c>
      <c r="GL22" s="231">
        <v>0.91800000000000004</v>
      </c>
      <c r="GM22" s="226">
        <f t="shared" si="48"/>
        <v>0</v>
      </c>
      <c r="GN22" s="223"/>
      <c r="GP22" s="154">
        <v>375</v>
      </c>
      <c r="GQ22" s="219">
        <v>1.0449999999999999</v>
      </c>
      <c r="GR22" s="226">
        <f t="shared" si="49"/>
        <v>0</v>
      </c>
      <c r="GS22" s="223"/>
      <c r="GU22" s="224">
        <v>375</v>
      </c>
      <c r="GV22" s="225">
        <v>1.89</v>
      </c>
      <c r="GW22" s="226">
        <f t="shared" si="50"/>
        <v>1.8927941074929251</v>
      </c>
      <c r="GX22" s="223"/>
      <c r="GY22" s="125"/>
      <c r="GZ22" s="230">
        <v>375</v>
      </c>
      <c r="HA22" s="231">
        <v>14.46</v>
      </c>
      <c r="HB22" s="229">
        <f t="shared" si="51"/>
        <v>14.465080195441683</v>
      </c>
      <c r="HC22" s="223"/>
      <c r="HD22" s="125"/>
      <c r="HE22" s="230">
        <v>375</v>
      </c>
      <c r="HF22" s="231">
        <v>0.91800000000000004</v>
      </c>
      <c r="HG22" s="226">
        <f t="shared" si="52"/>
        <v>0.92333420521376608</v>
      </c>
      <c r="HH22" s="223"/>
      <c r="HI22" s="5"/>
      <c r="HJ22" s="154">
        <v>400</v>
      </c>
      <c r="HK22" s="219">
        <v>2.5249999999999999</v>
      </c>
      <c r="HL22" s="226">
        <f t="shared" si="53"/>
        <v>0</v>
      </c>
      <c r="HM22" s="223"/>
      <c r="HO22" s="224">
        <v>375</v>
      </c>
      <c r="HP22" s="225">
        <v>1.89</v>
      </c>
      <c r="HQ22" s="226">
        <f t="shared" si="54"/>
        <v>0</v>
      </c>
      <c r="HR22" s="223"/>
      <c r="HS22" s="125"/>
      <c r="HT22" s="230">
        <v>375</v>
      </c>
      <c r="HU22" s="231">
        <v>14.46</v>
      </c>
      <c r="HV22" s="229">
        <f t="shared" si="55"/>
        <v>0</v>
      </c>
      <c r="HW22" s="223"/>
      <c r="HX22" s="125"/>
      <c r="HY22" s="230">
        <v>375</v>
      </c>
      <c r="HZ22" s="231">
        <v>0.91800000000000004</v>
      </c>
      <c r="IA22" s="226">
        <f t="shared" si="56"/>
        <v>0</v>
      </c>
      <c r="IB22" s="223"/>
      <c r="IC22" s="5"/>
      <c r="ID22" s="154">
        <v>400</v>
      </c>
      <c r="IE22" s="219">
        <v>2.5249999999999999</v>
      </c>
      <c r="IF22" s="226">
        <f t="shared" si="57"/>
        <v>0</v>
      </c>
      <c r="IG22" s="223"/>
      <c r="II22" s="224">
        <v>375</v>
      </c>
      <c r="IJ22" s="225">
        <v>1.89</v>
      </c>
      <c r="IK22" s="226">
        <f t="shared" si="58"/>
        <v>0</v>
      </c>
      <c r="IL22" s="223"/>
      <c r="IM22" s="125"/>
      <c r="IN22" s="230">
        <v>375</v>
      </c>
      <c r="IO22" s="231">
        <v>14.46</v>
      </c>
      <c r="IP22" s="229">
        <f t="shared" si="59"/>
        <v>0</v>
      </c>
      <c r="IQ22" s="223"/>
      <c r="IR22" s="125"/>
      <c r="IS22" s="230">
        <v>375</v>
      </c>
      <c r="IT22" s="231">
        <v>0.91800000000000004</v>
      </c>
      <c r="IU22" s="226">
        <f t="shared" si="60"/>
        <v>0</v>
      </c>
      <c r="IV22" s="223"/>
      <c r="IW22" s="5"/>
      <c r="IX22" s="154">
        <v>400</v>
      </c>
      <c r="IY22" s="219">
        <v>2.5249999999999999</v>
      </c>
      <c r="IZ22" s="226">
        <f t="shared" si="61"/>
        <v>0</v>
      </c>
      <c r="JA22" s="223"/>
      <c r="JC22" s="224">
        <v>375</v>
      </c>
      <c r="JD22" s="225">
        <v>1.89</v>
      </c>
      <c r="JE22" s="226">
        <f t="shared" si="62"/>
        <v>1.8949144264061879</v>
      </c>
      <c r="JF22" s="223"/>
      <c r="JG22" s="125"/>
      <c r="JH22" s="230">
        <v>375</v>
      </c>
      <c r="JI22" s="231">
        <v>14.46</v>
      </c>
      <c r="JJ22" s="229">
        <f t="shared" si="63"/>
        <v>14.468935320738524</v>
      </c>
      <c r="JK22" s="223"/>
      <c r="JL22" s="125"/>
      <c r="JM22" s="230">
        <v>375</v>
      </c>
      <c r="JN22" s="231">
        <v>0.91800000000000004</v>
      </c>
      <c r="JO22" s="226">
        <f t="shared" si="64"/>
        <v>0.92738208677544987</v>
      </c>
      <c r="JP22" s="223"/>
      <c r="JQ22" s="5"/>
      <c r="JR22" s="154">
        <v>400</v>
      </c>
      <c r="JS22" s="219">
        <v>2.5249999999999999</v>
      </c>
      <c r="JT22" s="226">
        <f t="shared" si="65"/>
        <v>0</v>
      </c>
      <c r="JU22" s="223"/>
      <c r="JW22" s="224">
        <v>375</v>
      </c>
      <c r="JX22" s="225">
        <v>1.89</v>
      </c>
      <c r="JY22" s="226">
        <f t="shared" si="0"/>
        <v>0</v>
      </c>
      <c r="JZ22" s="223"/>
      <c r="KA22" s="125"/>
      <c r="KB22" s="230">
        <v>375</v>
      </c>
      <c r="KC22" s="231">
        <v>14.46</v>
      </c>
      <c r="KD22" s="229">
        <f t="shared" si="1"/>
        <v>0</v>
      </c>
      <c r="KE22" s="223"/>
      <c r="KF22" s="125"/>
      <c r="KG22" s="230">
        <v>375</v>
      </c>
      <c r="KH22" s="231">
        <v>0.91800000000000004</v>
      </c>
      <c r="KI22" s="226">
        <f t="shared" si="2"/>
        <v>0</v>
      </c>
      <c r="KJ22" s="223"/>
      <c r="KK22" s="5"/>
      <c r="KL22" s="154">
        <v>400</v>
      </c>
      <c r="KM22" s="219">
        <v>2.5249999999999999</v>
      </c>
      <c r="KN22" s="226">
        <f t="shared" si="3"/>
        <v>2.5976054660854269</v>
      </c>
      <c r="KO22" s="223"/>
      <c r="KQ22" s="224">
        <v>375</v>
      </c>
      <c r="KR22" s="225">
        <v>1.89</v>
      </c>
      <c r="KS22" s="226">
        <f t="shared" si="4"/>
        <v>0</v>
      </c>
      <c r="KT22" s="223"/>
      <c r="KU22" s="125"/>
      <c r="KV22" s="230">
        <v>375</v>
      </c>
      <c r="KW22" s="231">
        <v>14.46</v>
      </c>
      <c r="KX22" s="229">
        <f t="shared" si="5"/>
        <v>0</v>
      </c>
      <c r="KY22" s="223"/>
      <c r="KZ22" s="125"/>
      <c r="LA22" s="230">
        <v>375</v>
      </c>
      <c r="LB22" s="231">
        <v>0.91800000000000004</v>
      </c>
      <c r="LC22" s="226">
        <f t="shared" si="6"/>
        <v>0</v>
      </c>
      <c r="LD22" s="223"/>
      <c r="LE22" s="5"/>
      <c r="LF22" s="154">
        <v>400</v>
      </c>
      <c r="LG22" s="219">
        <v>2.5249999999999999</v>
      </c>
      <c r="LH22" s="226">
        <f t="shared" si="7"/>
        <v>0</v>
      </c>
      <c r="LI22" s="223"/>
      <c r="LK22" s="224">
        <v>375</v>
      </c>
      <c r="LL22" s="225">
        <v>1.89</v>
      </c>
      <c r="LM22" s="226" t="e">
        <f t="shared" si="8"/>
        <v>#REF!</v>
      </c>
      <c r="LN22" s="223"/>
      <c r="LO22" s="125"/>
      <c r="LP22" s="230">
        <v>375</v>
      </c>
      <c r="LQ22" s="231">
        <v>14.46</v>
      </c>
      <c r="LR22" s="229" t="e">
        <f t="shared" si="9"/>
        <v>#REF!</v>
      </c>
      <c r="LS22" s="223"/>
      <c r="LT22" s="125"/>
      <c r="LU22" s="230">
        <v>375</v>
      </c>
      <c r="LV22" s="231">
        <v>0.91800000000000004</v>
      </c>
      <c r="LW22" s="226" t="e">
        <f t="shared" si="10"/>
        <v>#REF!</v>
      </c>
      <c r="LX22" s="223"/>
      <c r="LY22" s="5"/>
      <c r="LZ22" s="154">
        <v>400</v>
      </c>
      <c r="MA22" s="219">
        <v>2.5249999999999999</v>
      </c>
      <c r="MB22" s="226" t="e">
        <f t="shared" si="11"/>
        <v>#REF!</v>
      </c>
      <c r="MC22" s="223"/>
    </row>
    <row r="23" spans="2:341" ht="16" thickBot="1" x14ac:dyDescent="0.25">
      <c r="B23" s="232"/>
      <c r="C23" s="224">
        <v>400</v>
      </c>
      <c r="D23" s="225">
        <v>1.901</v>
      </c>
      <c r="E23" s="226">
        <f t="shared" si="12"/>
        <v>0</v>
      </c>
      <c r="F23" s="223"/>
      <c r="G23" s="232"/>
      <c r="H23" s="230">
        <v>400</v>
      </c>
      <c r="I23" s="231">
        <v>14.48</v>
      </c>
      <c r="J23" s="229">
        <f t="shared" si="13"/>
        <v>0</v>
      </c>
      <c r="K23" s="223"/>
      <c r="L23" s="125"/>
      <c r="M23" s="230">
        <v>400</v>
      </c>
      <c r="N23" s="231">
        <v>0.93899999999999995</v>
      </c>
      <c r="O23" s="226">
        <f t="shared" si="14"/>
        <v>0</v>
      </c>
      <c r="P23" s="223"/>
      <c r="Q23" s="5"/>
      <c r="R23" s="154">
        <v>450</v>
      </c>
      <c r="S23" s="219">
        <v>2.7029999999999998</v>
      </c>
      <c r="T23" s="226">
        <f t="shared" si="15"/>
        <v>0</v>
      </c>
      <c r="U23" s="223"/>
      <c r="V23" s="237"/>
      <c r="W23" s="224">
        <v>400</v>
      </c>
      <c r="X23" s="225">
        <v>1.901</v>
      </c>
      <c r="Y23" s="226">
        <f t="shared" si="16"/>
        <v>0</v>
      </c>
      <c r="Z23" s="223"/>
      <c r="AA23" s="232"/>
      <c r="AB23" s="230">
        <v>400</v>
      </c>
      <c r="AC23" s="231">
        <v>14.48</v>
      </c>
      <c r="AD23" s="229">
        <f t="shared" si="17"/>
        <v>0</v>
      </c>
      <c r="AE23" s="223"/>
      <c r="AF23" s="125"/>
      <c r="AG23" s="230">
        <v>400</v>
      </c>
      <c r="AH23" s="231">
        <v>0.93899999999999995</v>
      </c>
      <c r="AI23" s="226">
        <f t="shared" si="18"/>
        <v>0</v>
      </c>
      <c r="AJ23" s="223"/>
      <c r="AK23" s="5"/>
      <c r="AL23" s="154">
        <v>400</v>
      </c>
      <c r="AM23" s="219">
        <v>1.048</v>
      </c>
      <c r="AN23" s="226">
        <f t="shared" si="19"/>
        <v>0</v>
      </c>
      <c r="AO23" s="223"/>
      <c r="AQ23" s="224">
        <v>400</v>
      </c>
      <c r="AR23" s="225">
        <v>1.901</v>
      </c>
      <c r="AS23" s="226">
        <f t="shared" si="20"/>
        <v>0</v>
      </c>
      <c r="AT23" s="223"/>
      <c r="AU23" s="232"/>
      <c r="AV23" s="230">
        <v>400</v>
      </c>
      <c r="AW23" s="231">
        <v>14.48</v>
      </c>
      <c r="AX23" s="229">
        <f t="shared" si="21"/>
        <v>0</v>
      </c>
      <c r="AY23" s="223"/>
      <c r="AZ23" s="125"/>
      <c r="BA23" s="230">
        <v>400</v>
      </c>
      <c r="BB23" s="231">
        <v>0.93899999999999995</v>
      </c>
      <c r="BC23" s="226">
        <f t="shared" si="22"/>
        <v>0</v>
      </c>
      <c r="BD23" s="223"/>
      <c r="BE23" s="5"/>
      <c r="BF23" s="154">
        <v>450</v>
      </c>
      <c r="BG23" s="219">
        <v>2.7029999999999998</v>
      </c>
      <c r="BH23" s="226">
        <f t="shared" si="23"/>
        <v>2.8160267914646933</v>
      </c>
      <c r="BI23" s="223"/>
      <c r="BK23" s="224">
        <v>400</v>
      </c>
      <c r="BL23" s="225">
        <v>1.901</v>
      </c>
      <c r="BM23" s="226">
        <f t="shared" si="24"/>
        <v>0</v>
      </c>
      <c r="BN23" s="223"/>
      <c r="BO23" s="232"/>
      <c r="BP23" s="230">
        <v>400</v>
      </c>
      <c r="BQ23" s="231">
        <v>14.48</v>
      </c>
      <c r="BR23" s="229">
        <f t="shared" si="25"/>
        <v>0</v>
      </c>
      <c r="BS23" s="223"/>
      <c r="BT23" s="125"/>
      <c r="BU23" s="230">
        <v>400</v>
      </c>
      <c r="BV23" s="231">
        <v>0.93899999999999995</v>
      </c>
      <c r="BW23" s="226">
        <f t="shared" si="26"/>
        <v>0</v>
      </c>
      <c r="BX23" s="223"/>
      <c r="BY23" s="5"/>
      <c r="BZ23" s="154">
        <v>400</v>
      </c>
      <c r="CA23" s="219">
        <v>1.048</v>
      </c>
      <c r="CB23" s="226">
        <f t="shared" si="27"/>
        <v>0</v>
      </c>
      <c r="CC23" s="223"/>
      <c r="CE23" s="224">
        <v>400</v>
      </c>
      <c r="CF23" s="225">
        <v>1.901</v>
      </c>
      <c r="CG23" s="226">
        <f t="shared" si="28"/>
        <v>1.9221737561720911</v>
      </c>
      <c r="CH23" s="223"/>
      <c r="CI23" s="232"/>
      <c r="CJ23" s="230">
        <v>400</v>
      </c>
      <c r="CK23" s="231">
        <v>14.48</v>
      </c>
      <c r="CL23" s="229">
        <f t="shared" si="29"/>
        <v>14.496939004937673</v>
      </c>
      <c r="CM23" s="223"/>
      <c r="CN23" s="125"/>
      <c r="CO23" s="230">
        <v>400</v>
      </c>
      <c r="CP23" s="231">
        <v>0.93899999999999995</v>
      </c>
      <c r="CQ23" s="226">
        <f t="shared" si="30"/>
        <v>0.97203105962846226</v>
      </c>
      <c r="CR23" s="223"/>
      <c r="CT23" s="154">
        <v>400</v>
      </c>
      <c r="CU23" s="219">
        <v>1.048</v>
      </c>
      <c r="CV23" s="226">
        <f t="shared" si="31"/>
        <v>1.0530817014813019</v>
      </c>
      <c r="CW23" s="223"/>
      <c r="CY23" s="224">
        <v>400</v>
      </c>
      <c r="CZ23" s="225">
        <v>1.901</v>
      </c>
      <c r="DA23" s="226">
        <f t="shared" si="32"/>
        <v>0</v>
      </c>
      <c r="DB23" s="223"/>
      <c r="DC23" s="232"/>
      <c r="DD23" s="230">
        <v>400</v>
      </c>
      <c r="DE23" s="231">
        <v>14.48</v>
      </c>
      <c r="DF23" s="229">
        <f t="shared" si="33"/>
        <v>0</v>
      </c>
      <c r="DG23" s="223"/>
      <c r="DH23" s="125"/>
      <c r="DI23" s="230">
        <v>400</v>
      </c>
      <c r="DJ23" s="231">
        <v>0.93899999999999995</v>
      </c>
      <c r="DK23" s="226">
        <f t="shared" si="34"/>
        <v>0</v>
      </c>
      <c r="DL23" s="223"/>
      <c r="DN23" s="154">
        <v>400</v>
      </c>
      <c r="DO23" s="219">
        <v>1.048</v>
      </c>
      <c r="DP23" s="226">
        <f t="shared" si="35"/>
        <v>0</v>
      </c>
      <c r="DQ23" s="223"/>
      <c r="DS23" s="224">
        <v>400</v>
      </c>
      <c r="DT23" s="225">
        <v>1.901</v>
      </c>
      <c r="DU23" s="226">
        <f t="shared" si="36"/>
        <v>0</v>
      </c>
      <c r="DV23" s="223"/>
      <c r="DW23" s="232"/>
      <c r="DX23" s="230">
        <v>400</v>
      </c>
      <c r="DY23" s="231">
        <v>14.48</v>
      </c>
      <c r="DZ23" s="229">
        <f t="shared" si="37"/>
        <v>0</v>
      </c>
      <c r="EA23" s="223"/>
      <c r="EB23" s="125"/>
      <c r="EC23" s="230">
        <v>400</v>
      </c>
      <c r="ED23" s="231">
        <v>0.93899999999999995</v>
      </c>
      <c r="EE23" s="226">
        <f t="shared" si="38"/>
        <v>0</v>
      </c>
      <c r="EF23" s="223"/>
      <c r="EH23" s="154">
        <v>400</v>
      </c>
      <c r="EI23" s="219">
        <v>1.048</v>
      </c>
      <c r="EJ23" s="226">
        <f t="shared" si="39"/>
        <v>0</v>
      </c>
      <c r="EK23" s="223"/>
      <c r="EM23" s="230">
        <v>400</v>
      </c>
      <c r="EN23" s="231">
        <v>0.93899999999999995</v>
      </c>
      <c r="EO23" s="226">
        <f t="shared" si="40"/>
        <v>0</v>
      </c>
      <c r="EP23" s="223"/>
      <c r="EQ23" s="232"/>
      <c r="ER23" s="224"/>
      <c r="ES23" s="224"/>
      <c r="ET23" s="389"/>
      <c r="EU23" s="5"/>
      <c r="EV23" s="125"/>
      <c r="EW23" s="230">
        <v>400</v>
      </c>
      <c r="EX23" s="231">
        <v>0.93899999999999995</v>
      </c>
      <c r="EY23" s="226">
        <f t="shared" si="41"/>
        <v>0</v>
      </c>
      <c r="EZ23" s="223"/>
      <c r="FA23" s="232"/>
      <c r="FB23" s="224"/>
      <c r="FC23" s="224"/>
      <c r="FD23" s="389"/>
      <c r="FE23" s="5"/>
      <c r="FG23" s="224">
        <v>400</v>
      </c>
      <c r="FH23" s="225">
        <v>1.901</v>
      </c>
      <c r="FI23" s="226">
        <f t="shared" si="42"/>
        <v>1.9111994489598294</v>
      </c>
      <c r="FJ23" s="223"/>
      <c r="FK23" s="232"/>
      <c r="FL23" s="230">
        <v>400</v>
      </c>
      <c r="FM23" s="231">
        <v>14.48</v>
      </c>
      <c r="FN23" s="229">
        <f t="shared" si="43"/>
        <v>14.488159559167864</v>
      </c>
      <c r="FO23" s="223"/>
      <c r="FP23" s="125"/>
      <c r="FQ23" s="230">
        <v>400</v>
      </c>
      <c r="FR23" s="231">
        <v>0.93899999999999995</v>
      </c>
      <c r="FS23" s="226">
        <f t="shared" si="44"/>
        <v>0.95491114037733382</v>
      </c>
      <c r="FT23" s="223"/>
      <c r="FV23" s="154">
        <v>400</v>
      </c>
      <c r="FW23" s="219">
        <v>1.048</v>
      </c>
      <c r="FX23" s="226">
        <f t="shared" si="45"/>
        <v>1.050447867750359</v>
      </c>
      <c r="FY23" s="223"/>
      <c r="GA23" s="224">
        <v>400</v>
      </c>
      <c r="GB23" s="225">
        <v>1.901</v>
      </c>
      <c r="GC23" s="226">
        <f t="shared" si="46"/>
        <v>0</v>
      </c>
      <c r="GD23" s="223"/>
      <c r="GE23" s="232"/>
      <c r="GF23" s="230">
        <v>400</v>
      </c>
      <c r="GG23" s="231">
        <v>14.48</v>
      </c>
      <c r="GH23" s="229">
        <f t="shared" si="47"/>
        <v>0</v>
      </c>
      <c r="GI23" s="223"/>
      <c r="GJ23" s="125"/>
      <c r="GK23" s="230">
        <v>400</v>
      </c>
      <c r="GL23" s="231">
        <v>0.93899999999999995</v>
      </c>
      <c r="GM23" s="226">
        <f t="shared" si="48"/>
        <v>0</v>
      </c>
      <c r="GN23" s="223"/>
      <c r="GP23" s="154">
        <v>400</v>
      </c>
      <c r="GQ23" s="219">
        <v>1.048</v>
      </c>
      <c r="GR23" s="226">
        <f t="shared" si="49"/>
        <v>0</v>
      </c>
      <c r="GS23" s="223"/>
      <c r="GU23" s="224">
        <v>400</v>
      </c>
      <c r="GV23" s="225">
        <v>1.901</v>
      </c>
      <c r="GW23" s="226">
        <f t="shared" si="50"/>
        <v>0</v>
      </c>
      <c r="GX23" s="223"/>
      <c r="GY23" s="232"/>
      <c r="GZ23" s="230">
        <v>400</v>
      </c>
      <c r="HA23" s="231">
        <v>14.48</v>
      </c>
      <c r="HB23" s="229">
        <f t="shared" si="51"/>
        <v>0</v>
      </c>
      <c r="HC23" s="223"/>
      <c r="HD23" s="125"/>
      <c r="HE23" s="230">
        <v>400</v>
      </c>
      <c r="HF23" s="231">
        <v>0.93899999999999995</v>
      </c>
      <c r="HG23" s="226">
        <f t="shared" si="52"/>
        <v>0</v>
      </c>
      <c r="HH23" s="223"/>
      <c r="HI23" s="5"/>
      <c r="HJ23" s="154">
        <v>450</v>
      </c>
      <c r="HK23" s="219">
        <v>2.7029999999999998</v>
      </c>
      <c r="HL23" s="226">
        <f t="shared" si="53"/>
        <v>0</v>
      </c>
      <c r="HM23" s="223"/>
      <c r="HO23" s="224">
        <v>400</v>
      </c>
      <c r="HP23" s="225">
        <v>1.901</v>
      </c>
      <c r="HQ23" s="226">
        <f t="shared" si="54"/>
        <v>0</v>
      </c>
      <c r="HR23" s="223"/>
      <c r="HS23" s="232"/>
      <c r="HT23" s="230">
        <v>400</v>
      </c>
      <c r="HU23" s="231">
        <v>14.48</v>
      </c>
      <c r="HV23" s="229">
        <f t="shared" si="55"/>
        <v>0</v>
      </c>
      <c r="HW23" s="223"/>
      <c r="HX23" s="125"/>
      <c r="HY23" s="230">
        <v>400</v>
      </c>
      <c r="HZ23" s="231">
        <v>0.93899999999999995</v>
      </c>
      <c r="IA23" s="226">
        <f t="shared" si="56"/>
        <v>0</v>
      </c>
      <c r="IB23" s="223"/>
      <c r="IC23" s="5"/>
      <c r="ID23" s="154">
        <v>450</v>
      </c>
      <c r="IE23" s="219">
        <v>2.7029999999999998</v>
      </c>
      <c r="IF23" s="226">
        <f t="shared" si="57"/>
        <v>0</v>
      </c>
      <c r="IG23" s="223"/>
      <c r="II23" s="224">
        <v>400</v>
      </c>
      <c r="IJ23" s="225">
        <v>1.901</v>
      </c>
      <c r="IK23" s="226">
        <f t="shared" si="58"/>
        <v>0</v>
      </c>
      <c r="IL23" s="223"/>
      <c r="IM23" s="232"/>
      <c r="IN23" s="230">
        <v>400</v>
      </c>
      <c r="IO23" s="231">
        <v>14.48</v>
      </c>
      <c r="IP23" s="229">
        <f t="shared" si="59"/>
        <v>0</v>
      </c>
      <c r="IQ23" s="223"/>
      <c r="IR23" s="125"/>
      <c r="IS23" s="230">
        <v>400</v>
      </c>
      <c r="IT23" s="231">
        <v>0.93899999999999995</v>
      </c>
      <c r="IU23" s="226">
        <f t="shared" si="60"/>
        <v>0</v>
      </c>
      <c r="IV23" s="223"/>
      <c r="IW23" s="5"/>
      <c r="IX23" s="154">
        <v>450</v>
      </c>
      <c r="IY23" s="219">
        <v>2.7029999999999998</v>
      </c>
      <c r="IZ23" s="226">
        <f t="shared" si="61"/>
        <v>0</v>
      </c>
      <c r="JA23" s="223"/>
      <c r="JC23" s="224">
        <v>400</v>
      </c>
      <c r="JD23" s="225">
        <v>1.901</v>
      </c>
      <c r="JE23" s="226">
        <f t="shared" si="62"/>
        <v>0</v>
      </c>
      <c r="JF23" s="223"/>
      <c r="JG23" s="232"/>
      <c r="JH23" s="230">
        <v>400</v>
      </c>
      <c r="JI23" s="231">
        <v>14.48</v>
      </c>
      <c r="JJ23" s="229">
        <f t="shared" si="63"/>
        <v>0</v>
      </c>
      <c r="JK23" s="223"/>
      <c r="JL23" s="125"/>
      <c r="JM23" s="230">
        <v>400</v>
      </c>
      <c r="JN23" s="231">
        <v>0.93899999999999995</v>
      </c>
      <c r="JO23" s="226">
        <f t="shared" si="64"/>
        <v>0</v>
      </c>
      <c r="JP23" s="223"/>
      <c r="JQ23" s="5"/>
      <c r="JR23" s="154">
        <v>450</v>
      </c>
      <c r="JS23" s="219">
        <v>2.7029999999999998</v>
      </c>
      <c r="JT23" s="226">
        <f t="shared" si="65"/>
        <v>0</v>
      </c>
      <c r="JU23" s="223"/>
      <c r="JW23" s="224">
        <v>400</v>
      </c>
      <c r="JX23" s="225">
        <v>1.901</v>
      </c>
      <c r="JY23" s="226">
        <f t="shared" si="0"/>
        <v>1.9111973969221105</v>
      </c>
      <c r="JZ23" s="223"/>
      <c r="KA23" s="232"/>
      <c r="KB23" s="230">
        <v>400</v>
      </c>
      <c r="KC23" s="231">
        <v>14.48</v>
      </c>
      <c r="KD23" s="229">
        <f t="shared" si="1"/>
        <v>14.488157917537688</v>
      </c>
      <c r="KE23" s="223"/>
      <c r="KF23" s="125"/>
      <c r="KG23" s="230">
        <v>400</v>
      </c>
      <c r="KH23" s="231">
        <v>0.93899999999999995</v>
      </c>
      <c r="KI23" s="226">
        <f t="shared" si="2"/>
        <v>0.95490793919849237</v>
      </c>
      <c r="KJ23" s="223"/>
      <c r="KK23" s="5"/>
      <c r="KL23" s="154">
        <v>450</v>
      </c>
      <c r="KM23" s="219">
        <v>2.7029999999999998</v>
      </c>
      <c r="KN23" s="226">
        <f t="shared" si="3"/>
        <v>0</v>
      </c>
      <c r="KO23" s="223"/>
      <c r="KQ23" s="224">
        <v>400</v>
      </c>
      <c r="KR23" s="225">
        <v>1.901</v>
      </c>
      <c r="KS23" s="226">
        <f t="shared" si="4"/>
        <v>0</v>
      </c>
      <c r="KT23" s="223"/>
      <c r="KU23" s="232"/>
      <c r="KV23" s="230">
        <v>400</v>
      </c>
      <c r="KW23" s="231">
        <v>14.48</v>
      </c>
      <c r="KX23" s="229">
        <f t="shared" si="5"/>
        <v>0</v>
      </c>
      <c r="KY23" s="223"/>
      <c r="KZ23" s="125"/>
      <c r="LA23" s="230">
        <v>400</v>
      </c>
      <c r="LB23" s="231">
        <v>0.93899999999999995</v>
      </c>
      <c r="LC23" s="226">
        <f t="shared" si="6"/>
        <v>0</v>
      </c>
      <c r="LD23" s="223"/>
      <c r="LE23" s="5"/>
      <c r="LF23" s="154">
        <v>450</v>
      </c>
      <c r="LG23" s="219">
        <v>2.7029999999999998</v>
      </c>
      <c r="LH23" s="226">
        <f t="shared" si="7"/>
        <v>0</v>
      </c>
      <c r="LI23" s="223"/>
      <c r="LK23" s="224">
        <v>400</v>
      </c>
      <c r="LL23" s="225">
        <v>1.901</v>
      </c>
      <c r="LM23" s="226" t="e">
        <f t="shared" si="8"/>
        <v>#REF!</v>
      </c>
      <c r="LN23" s="223"/>
      <c r="LO23" s="232"/>
      <c r="LP23" s="230">
        <v>400</v>
      </c>
      <c r="LQ23" s="231">
        <v>14.48</v>
      </c>
      <c r="LR23" s="229" t="e">
        <f t="shared" si="9"/>
        <v>#REF!</v>
      </c>
      <c r="LS23" s="223"/>
      <c r="LT23" s="125"/>
      <c r="LU23" s="230">
        <v>400</v>
      </c>
      <c r="LV23" s="231">
        <v>0.93899999999999995</v>
      </c>
      <c r="LW23" s="226" t="e">
        <f t="shared" si="10"/>
        <v>#REF!</v>
      </c>
      <c r="LX23" s="223"/>
      <c r="LY23" s="5"/>
      <c r="LZ23" s="154">
        <v>450</v>
      </c>
      <c r="MA23" s="219">
        <v>2.7029999999999998</v>
      </c>
      <c r="MB23" s="226" t="e">
        <f t="shared" si="11"/>
        <v>#REF!</v>
      </c>
      <c r="MC23" s="223"/>
    </row>
    <row r="24" spans="2:341" ht="16" thickBot="1" x14ac:dyDescent="0.25">
      <c r="B24" s="232"/>
      <c r="C24" s="224">
        <v>450</v>
      </c>
      <c r="D24" s="225">
        <v>1.9259999999999999</v>
      </c>
      <c r="E24" s="226">
        <f t="shared" si="12"/>
        <v>0</v>
      </c>
      <c r="F24" s="223"/>
      <c r="G24" s="232"/>
      <c r="H24" s="230">
        <v>450</v>
      </c>
      <c r="I24" s="231">
        <v>14.5</v>
      </c>
      <c r="J24" s="229">
        <f t="shared" si="13"/>
        <v>0</v>
      </c>
      <c r="K24" s="223"/>
      <c r="L24" s="125"/>
      <c r="M24" s="230">
        <v>450</v>
      </c>
      <c r="N24" s="231">
        <v>0.97799999999999998</v>
      </c>
      <c r="O24" s="226">
        <f t="shared" si="14"/>
        <v>0</v>
      </c>
      <c r="P24" s="223"/>
      <c r="Q24" s="5"/>
      <c r="R24" s="154">
        <v>500</v>
      </c>
      <c r="S24" s="219">
        <v>2.8889999999999998</v>
      </c>
      <c r="T24" s="226">
        <f t="shared" si="15"/>
        <v>2.9000999999999997</v>
      </c>
      <c r="U24" s="223"/>
      <c r="V24" s="237"/>
      <c r="W24" s="224">
        <v>450</v>
      </c>
      <c r="X24" s="225">
        <v>1.9259999999999999</v>
      </c>
      <c r="Y24" s="226">
        <f t="shared" si="16"/>
        <v>1.9526017801940037</v>
      </c>
      <c r="Z24" s="223"/>
      <c r="AA24" s="232"/>
      <c r="AB24" s="230">
        <v>450</v>
      </c>
      <c r="AC24" s="231">
        <v>14.5</v>
      </c>
      <c r="AD24" s="229">
        <f t="shared" si="17"/>
        <v>14.509500635783573</v>
      </c>
      <c r="AE24" s="223"/>
      <c r="AF24" s="125"/>
      <c r="AG24" s="230">
        <v>450</v>
      </c>
      <c r="AH24" s="231">
        <v>0.97799999999999998</v>
      </c>
      <c r="AI24" s="226">
        <f t="shared" si="18"/>
        <v>1.0122022888208619</v>
      </c>
      <c r="AJ24" s="223"/>
      <c r="AK24" s="5"/>
      <c r="AL24" s="154">
        <v>450</v>
      </c>
      <c r="AM24" s="219">
        <v>1.054</v>
      </c>
      <c r="AN24" s="226">
        <f t="shared" si="19"/>
        <v>1.0635006357835728</v>
      </c>
      <c r="AO24" s="223"/>
      <c r="AQ24" s="224">
        <v>450</v>
      </c>
      <c r="AR24" s="225">
        <v>1.9259999999999999</v>
      </c>
      <c r="AS24" s="226">
        <f t="shared" si="20"/>
        <v>1.9430147858118894</v>
      </c>
      <c r="AT24" s="223"/>
      <c r="AU24" s="232"/>
      <c r="AV24" s="230">
        <v>450</v>
      </c>
      <c r="AW24" s="231">
        <v>14.5</v>
      </c>
      <c r="AX24" s="229">
        <f t="shared" si="21"/>
        <v>14.506076709218531</v>
      </c>
      <c r="AY24" s="223"/>
      <c r="AZ24" s="125"/>
      <c r="BA24" s="230">
        <v>450</v>
      </c>
      <c r="BB24" s="231">
        <v>0.97799999999999998</v>
      </c>
      <c r="BC24" s="226">
        <f t="shared" si="22"/>
        <v>0.99987615318671486</v>
      </c>
      <c r="BD24" s="223"/>
      <c r="BE24" s="5"/>
      <c r="BF24" s="154">
        <v>500</v>
      </c>
      <c r="BG24" s="219">
        <v>2.8889999999999998</v>
      </c>
      <c r="BH24" s="226">
        <f t="shared" si="23"/>
        <v>0</v>
      </c>
      <c r="BI24" s="223"/>
      <c r="BK24" s="224">
        <v>450</v>
      </c>
      <c r="BL24" s="225">
        <v>1.9259999999999999</v>
      </c>
      <c r="BM24" s="226">
        <f t="shared" si="24"/>
        <v>1.9495235603880074</v>
      </c>
      <c r="BN24" s="223"/>
      <c r="BO24" s="232"/>
      <c r="BP24" s="230">
        <v>450</v>
      </c>
      <c r="BQ24" s="231">
        <v>14.5</v>
      </c>
      <c r="BR24" s="229">
        <f t="shared" si="25"/>
        <v>14.508401271567145</v>
      </c>
      <c r="BS24" s="223"/>
      <c r="BT24" s="125"/>
      <c r="BU24" s="230">
        <v>450</v>
      </c>
      <c r="BV24" s="231">
        <v>0.97799999999999998</v>
      </c>
      <c r="BW24" s="226">
        <f t="shared" si="26"/>
        <v>1.0082445776417239</v>
      </c>
      <c r="BX24" s="223"/>
      <c r="BY24" s="5"/>
      <c r="BZ24" s="154">
        <v>450</v>
      </c>
      <c r="CA24" s="219">
        <v>1.054</v>
      </c>
      <c r="CB24" s="226">
        <f t="shared" si="27"/>
        <v>1.0624012715671456</v>
      </c>
      <c r="CC24" s="223"/>
      <c r="CE24" s="224">
        <v>450</v>
      </c>
      <c r="CF24" s="225">
        <v>1.9259999999999999</v>
      </c>
      <c r="CG24" s="226">
        <f t="shared" si="28"/>
        <v>0</v>
      </c>
      <c r="CH24" s="223"/>
      <c r="CI24" s="232"/>
      <c r="CJ24" s="230">
        <v>450</v>
      </c>
      <c r="CK24" s="231">
        <v>14.5</v>
      </c>
      <c r="CL24" s="229">
        <f t="shared" si="29"/>
        <v>0</v>
      </c>
      <c r="CM24" s="223"/>
      <c r="CN24" s="125"/>
      <c r="CO24" s="230">
        <v>450</v>
      </c>
      <c r="CP24" s="231">
        <v>0.97799999999999998</v>
      </c>
      <c r="CQ24" s="226">
        <f t="shared" si="30"/>
        <v>0</v>
      </c>
      <c r="CR24" s="223"/>
      <c r="CT24" s="154">
        <v>450</v>
      </c>
      <c r="CU24" s="219">
        <v>1.054</v>
      </c>
      <c r="CV24" s="226">
        <f t="shared" si="31"/>
        <v>0</v>
      </c>
      <c r="CW24" s="223"/>
      <c r="CY24" s="224">
        <v>450</v>
      </c>
      <c r="CZ24" s="225">
        <v>1.9259999999999999</v>
      </c>
      <c r="DA24" s="226">
        <f t="shared" si="32"/>
        <v>0</v>
      </c>
      <c r="DB24" s="223"/>
      <c r="DC24" s="232"/>
      <c r="DD24" s="230">
        <v>450</v>
      </c>
      <c r="DE24" s="231">
        <v>14.5</v>
      </c>
      <c r="DF24" s="229">
        <f t="shared" si="33"/>
        <v>0</v>
      </c>
      <c r="DG24" s="223"/>
      <c r="DH24" s="125"/>
      <c r="DI24" s="230">
        <v>450</v>
      </c>
      <c r="DJ24" s="231">
        <v>0.97799999999999998</v>
      </c>
      <c r="DK24" s="226">
        <f t="shared" si="34"/>
        <v>0</v>
      </c>
      <c r="DL24" s="223"/>
      <c r="DN24" s="154">
        <v>450</v>
      </c>
      <c r="DO24" s="219">
        <v>1.054</v>
      </c>
      <c r="DP24" s="226">
        <f t="shared" si="35"/>
        <v>0</v>
      </c>
      <c r="DQ24" s="223"/>
      <c r="DS24" s="224">
        <v>450</v>
      </c>
      <c r="DT24" s="225">
        <v>1.9259999999999999</v>
      </c>
      <c r="DU24" s="226">
        <f t="shared" si="36"/>
        <v>1.9398484822648616</v>
      </c>
      <c r="DV24" s="223"/>
      <c r="DW24" s="232"/>
      <c r="DX24" s="230">
        <v>450</v>
      </c>
      <c r="DY24" s="231">
        <v>14.5</v>
      </c>
      <c r="DZ24" s="229">
        <f t="shared" si="37"/>
        <v>14.504945886523165</v>
      </c>
      <c r="EA24" s="223"/>
      <c r="EB24" s="125"/>
      <c r="EC24" s="230">
        <v>450</v>
      </c>
      <c r="ED24" s="231">
        <v>0.97799999999999998</v>
      </c>
      <c r="EE24" s="226">
        <f t="shared" si="38"/>
        <v>0.99580519148339353</v>
      </c>
      <c r="EF24" s="223"/>
      <c r="EH24" s="154">
        <v>450</v>
      </c>
      <c r="EI24" s="219">
        <v>1.054</v>
      </c>
      <c r="EJ24" s="226">
        <f t="shared" si="39"/>
        <v>1.0589458865231649</v>
      </c>
      <c r="EK24" s="223"/>
      <c r="EM24" s="230">
        <v>450</v>
      </c>
      <c r="EN24" s="231">
        <v>0.97799999999999998</v>
      </c>
      <c r="EO24" s="226">
        <f t="shared" si="40"/>
        <v>0</v>
      </c>
      <c r="EP24" s="223"/>
      <c r="EQ24" s="232"/>
      <c r="ER24" s="224"/>
      <c r="ES24" s="224"/>
      <c r="ET24" s="389"/>
      <c r="EU24" s="5"/>
      <c r="EV24" s="125"/>
      <c r="EW24" s="230">
        <v>450</v>
      </c>
      <c r="EX24" s="231">
        <v>0.97799999999999998</v>
      </c>
      <c r="EY24" s="226">
        <f t="shared" si="41"/>
        <v>0</v>
      </c>
      <c r="EZ24" s="223"/>
      <c r="FA24" s="232"/>
      <c r="FB24" s="224"/>
      <c r="FC24" s="224"/>
      <c r="FD24" s="389"/>
      <c r="FE24" s="5"/>
      <c r="FG24" s="224">
        <v>450</v>
      </c>
      <c r="FH24" s="225">
        <v>1.9259999999999999</v>
      </c>
      <c r="FI24" s="226">
        <f t="shared" si="42"/>
        <v>0</v>
      </c>
      <c r="FJ24" s="223"/>
      <c r="FK24" s="232"/>
      <c r="FL24" s="230">
        <v>450</v>
      </c>
      <c r="FM24" s="231">
        <v>14.5</v>
      </c>
      <c r="FN24" s="229">
        <f t="shared" si="43"/>
        <v>0</v>
      </c>
      <c r="FO24" s="223"/>
      <c r="FP24" s="125"/>
      <c r="FQ24" s="230">
        <v>450</v>
      </c>
      <c r="FR24" s="231">
        <v>0.97799999999999998</v>
      </c>
      <c r="FS24" s="226">
        <f t="shared" si="44"/>
        <v>0</v>
      </c>
      <c r="FT24" s="223"/>
      <c r="FV24" s="154">
        <v>450</v>
      </c>
      <c r="FW24" s="219">
        <v>1.054</v>
      </c>
      <c r="FX24" s="226">
        <f t="shared" si="45"/>
        <v>0</v>
      </c>
      <c r="FY24" s="223"/>
      <c r="GA24" s="224">
        <v>450</v>
      </c>
      <c r="GB24" s="225">
        <v>1.9259999999999999</v>
      </c>
      <c r="GC24" s="226">
        <f t="shared" si="46"/>
        <v>0</v>
      </c>
      <c r="GD24" s="223"/>
      <c r="GE24" s="232"/>
      <c r="GF24" s="230">
        <v>450</v>
      </c>
      <c r="GG24" s="231">
        <v>14.5</v>
      </c>
      <c r="GH24" s="229">
        <f t="shared" si="47"/>
        <v>0</v>
      </c>
      <c r="GI24" s="223"/>
      <c r="GJ24" s="125"/>
      <c r="GK24" s="230">
        <v>450</v>
      </c>
      <c r="GL24" s="231">
        <v>0.97799999999999998</v>
      </c>
      <c r="GM24" s="226">
        <f t="shared" si="48"/>
        <v>0</v>
      </c>
      <c r="GN24" s="223"/>
      <c r="GP24" s="154">
        <v>450</v>
      </c>
      <c r="GQ24" s="219">
        <v>1.054</v>
      </c>
      <c r="GR24" s="226">
        <f t="shared" si="49"/>
        <v>0</v>
      </c>
      <c r="GS24" s="223"/>
      <c r="GU24" s="224">
        <v>450</v>
      </c>
      <c r="GV24" s="225">
        <v>1.9259999999999999</v>
      </c>
      <c r="GW24" s="226">
        <f t="shared" si="50"/>
        <v>0</v>
      </c>
      <c r="GX24" s="223"/>
      <c r="GY24" s="232"/>
      <c r="GZ24" s="230">
        <v>450</v>
      </c>
      <c r="HA24" s="231">
        <v>14.5</v>
      </c>
      <c r="HB24" s="229">
        <f t="shared" si="51"/>
        <v>0</v>
      </c>
      <c r="HC24" s="223"/>
      <c r="HD24" s="125"/>
      <c r="HE24" s="230">
        <v>450</v>
      </c>
      <c r="HF24" s="231">
        <v>0.97799999999999998</v>
      </c>
      <c r="HG24" s="226">
        <f t="shared" si="52"/>
        <v>0</v>
      </c>
      <c r="HH24" s="223"/>
      <c r="HI24" s="5"/>
      <c r="HJ24" s="154">
        <v>500</v>
      </c>
      <c r="HK24" s="219">
        <v>2.8889999999999998</v>
      </c>
      <c r="HL24" s="226">
        <f t="shared" si="53"/>
        <v>0</v>
      </c>
      <c r="HM24" s="223"/>
      <c r="HO24" s="224">
        <v>450</v>
      </c>
      <c r="HP24" s="225">
        <v>1.9259999999999999</v>
      </c>
      <c r="HQ24" s="226">
        <f t="shared" si="54"/>
        <v>0</v>
      </c>
      <c r="HR24" s="223"/>
      <c r="HS24" s="232"/>
      <c r="HT24" s="230">
        <v>450</v>
      </c>
      <c r="HU24" s="231">
        <v>14.5</v>
      </c>
      <c r="HV24" s="229">
        <f t="shared" si="55"/>
        <v>0</v>
      </c>
      <c r="HW24" s="223"/>
      <c r="HX24" s="125"/>
      <c r="HY24" s="230">
        <v>450</v>
      </c>
      <c r="HZ24" s="231">
        <v>0.97799999999999998</v>
      </c>
      <c r="IA24" s="226">
        <f t="shared" si="56"/>
        <v>0</v>
      </c>
      <c r="IB24" s="223"/>
      <c r="IC24" s="5"/>
      <c r="ID24" s="154">
        <v>500</v>
      </c>
      <c r="IE24" s="219">
        <v>2.8889999999999998</v>
      </c>
      <c r="IF24" s="226">
        <f t="shared" si="57"/>
        <v>3.0404518192768335</v>
      </c>
      <c r="IG24" s="223"/>
      <c r="II24" s="224">
        <v>450</v>
      </c>
      <c r="IJ24" s="225">
        <v>1.9259999999999999</v>
      </c>
      <c r="IK24" s="226">
        <f t="shared" si="58"/>
        <v>0</v>
      </c>
      <c r="IL24" s="223"/>
      <c r="IM24" s="232"/>
      <c r="IN24" s="230">
        <v>450</v>
      </c>
      <c r="IO24" s="231">
        <v>14.5</v>
      </c>
      <c r="IP24" s="229">
        <f t="shared" si="59"/>
        <v>0</v>
      </c>
      <c r="IQ24" s="223"/>
      <c r="IR24" s="125"/>
      <c r="IS24" s="230">
        <v>450</v>
      </c>
      <c r="IT24" s="231">
        <v>0.97799999999999998</v>
      </c>
      <c r="IU24" s="226">
        <f t="shared" si="60"/>
        <v>0</v>
      </c>
      <c r="IV24" s="223"/>
      <c r="IW24" s="5"/>
      <c r="IX24" s="154">
        <v>500</v>
      </c>
      <c r="IY24" s="219">
        <v>2.8889999999999998</v>
      </c>
      <c r="IZ24" s="226">
        <f t="shared" si="61"/>
        <v>2.9223606362050223</v>
      </c>
      <c r="JA24" s="223"/>
      <c r="JC24" s="224">
        <v>450</v>
      </c>
      <c r="JD24" s="225">
        <v>1.9259999999999999</v>
      </c>
      <c r="JE24" s="226">
        <f t="shared" si="62"/>
        <v>0</v>
      </c>
      <c r="JF24" s="223"/>
      <c r="JG24" s="232"/>
      <c r="JH24" s="230">
        <v>450</v>
      </c>
      <c r="JI24" s="231">
        <v>14.5</v>
      </c>
      <c r="JJ24" s="229">
        <f t="shared" si="63"/>
        <v>0</v>
      </c>
      <c r="JK24" s="223"/>
      <c r="JL24" s="125"/>
      <c r="JM24" s="230">
        <v>450</v>
      </c>
      <c r="JN24" s="231">
        <v>0.97799999999999998</v>
      </c>
      <c r="JO24" s="226">
        <f t="shared" si="64"/>
        <v>0</v>
      </c>
      <c r="JP24" s="223"/>
      <c r="JQ24" s="5"/>
      <c r="JR24" s="154">
        <v>500</v>
      </c>
      <c r="JS24" s="219">
        <v>2.8889999999999998</v>
      </c>
      <c r="JT24" s="226">
        <f t="shared" si="65"/>
        <v>0</v>
      </c>
      <c r="JU24" s="223"/>
      <c r="JW24" s="224">
        <v>450</v>
      </c>
      <c r="JX24" s="225">
        <v>1.9259999999999999</v>
      </c>
      <c r="JY24" s="226">
        <f t="shared" si="0"/>
        <v>0</v>
      </c>
      <c r="JZ24" s="223"/>
      <c r="KA24" s="232"/>
      <c r="KB24" s="230">
        <v>450</v>
      </c>
      <c r="KC24" s="231">
        <v>14.5</v>
      </c>
      <c r="KD24" s="229">
        <f t="shared" si="1"/>
        <v>0</v>
      </c>
      <c r="KE24" s="223"/>
      <c r="KF24" s="125"/>
      <c r="KG24" s="230">
        <v>450</v>
      </c>
      <c r="KH24" s="231">
        <v>0.97799999999999998</v>
      </c>
      <c r="KI24" s="226">
        <f t="shared" si="2"/>
        <v>0</v>
      </c>
      <c r="KJ24" s="223"/>
      <c r="KK24" s="5"/>
      <c r="KL24" s="154">
        <v>500</v>
      </c>
      <c r="KM24" s="219">
        <v>2.8889999999999998</v>
      </c>
      <c r="KN24" s="226">
        <f t="shared" si="3"/>
        <v>0</v>
      </c>
      <c r="KO24" s="223"/>
      <c r="KQ24" s="224">
        <v>450</v>
      </c>
      <c r="KR24" s="225">
        <v>1.9259999999999999</v>
      </c>
      <c r="KS24" s="226">
        <f t="shared" si="4"/>
        <v>0</v>
      </c>
      <c r="KT24" s="223"/>
      <c r="KU24" s="232"/>
      <c r="KV24" s="230">
        <v>450</v>
      </c>
      <c r="KW24" s="231">
        <v>14.5</v>
      </c>
      <c r="KX24" s="229">
        <f t="shared" si="5"/>
        <v>0</v>
      </c>
      <c r="KY24" s="223"/>
      <c r="KZ24" s="125"/>
      <c r="LA24" s="230">
        <v>450</v>
      </c>
      <c r="LB24" s="231">
        <v>0.97799999999999998</v>
      </c>
      <c r="LC24" s="226">
        <f t="shared" si="6"/>
        <v>0</v>
      </c>
      <c r="LD24" s="223"/>
      <c r="LE24" s="5"/>
      <c r="LF24" s="154">
        <v>500</v>
      </c>
      <c r="LG24" s="219">
        <v>2.8889999999999998</v>
      </c>
      <c r="LH24" s="226">
        <f t="shared" si="7"/>
        <v>0</v>
      </c>
      <c r="LI24" s="223"/>
      <c r="LK24" s="224">
        <v>450</v>
      </c>
      <c r="LL24" s="225">
        <v>1.9259999999999999</v>
      </c>
      <c r="LM24" s="226" t="e">
        <f t="shared" si="8"/>
        <v>#REF!</v>
      </c>
      <c r="LN24" s="223"/>
      <c r="LO24" s="232"/>
      <c r="LP24" s="230">
        <v>450</v>
      </c>
      <c r="LQ24" s="231">
        <v>14.5</v>
      </c>
      <c r="LR24" s="229" t="e">
        <f t="shared" si="9"/>
        <v>#REF!</v>
      </c>
      <c r="LS24" s="223"/>
      <c r="LT24" s="125"/>
      <c r="LU24" s="230">
        <v>450</v>
      </c>
      <c r="LV24" s="231">
        <v>0.97799999999999998</v>
      </c>
      <c r="LW24" s="226" t="e">
        <f t="shared" si="10"/>
        <v>#REF!</v>
      </c>
      <c r="LX24" s="223"/>
      <c r="LY24" s="5"/>
      <c r="LZ24" s="154">
        <v>500</v>
      </c>
      <c r="MA24" s="219">
        <v>2.8889999999999998</v>
      </c>
      <c r="MB24" s="226" t="e">
        <f t="shared" si="11"/>
        <v>#REF!</v>
      </c>
      <c r="MC24" s="223"/>
    </row>
    <row r="25" spans="2:341" ht="16" thickBot="1" x14ac:dyDescent="0.25">
      <c r="B25" s="232"/>
      <c r="C25" s="224">
        <v>500</v>
      </c>
      <c r="D25" s="225">
        <v>1.954</v>
      </c>
      <c r="E25" s="226">
        <f t="shared" si="12"/>
        <v>1.9558</v>
      </c>
      <c r="F25" s="223"/>
      <c r="G25" s="232"/>
      <c r="H25" s="230">
        <v>500</v>
      </c>
      <c r="I25" s="231">
        <v>14.51</v>
      </c>
      <c r="J25" s="229">
        <f t="shared" si="13"/>
        <v>14.511200000000001</v>
      </c>
      <c r="K25" s="223"/>
      <c r="L25" s="125"/>
      <c r="M25" s="230">
        <v>500</v>
      </c>
      <c r="N25" s="233">
        <v>1.014</v>
      </c>
      <c r="O25" s="226">
        <f t="shared" si="14"/>
        <v>1.0159199999999999</v>
      </c>
      <c r="P25" s="223"/>
      <c r="Q25" s="5"/>
      <c r="R25" s="154">
        <v>550</v>
      </c>
      <c r="S25" s="219">
        <v>3.0739999999999998</v>
      </c>
      <c r="T25" s="226">
        <f t="shared" si="15"/>
        <v>0</v>
      </c>
      <c r="U25" s="223"/>
      <c r="V25" s="237"/>
      <c r="W25" s="224">
        <v>500</v>
      </c>
      <c r="X25" s="225">
        <v>1.954</v>
      </c>
      <c r="Y25" s="226">
        <f t="shared" si="16"/>
        <v>0</v>
      </c>
      <c r="Z25" s="223"/>
      <c r="AA25" s="232"/>
      <c r="AB25" s="230">
        <v>500</v>
      </c>
      <c r="AC25" s="231">
        <v>14.51</v>
      </c>
      <c r="AD25" s="229">
        <f t="shared" si="17"/>
        <v>0</v>
      </c>
      <c r="AE25" s="223"/>
      <c r="AF25" s="125"/>
      <c r="AG25" s="230">
        <v>500</v>
      </c>
      <c r="AH25" s="233">
        <v>1.014</v>
      </c>
      <c r="AI25" s="226">
        <f t="shared" si="18"/>
        <v>0</v>
      </c>
      <c r="AJ25" s="223"/>
      <c r="AK25" s="5"/>
      <c r="AL25" s="154">
        <v>500</v>
      </c>
      <c r="AM25" s="219">
        <v>1.0640000000000001</v>
      </c>
      <c r="AN25" s="226">
        <f t="shared" si="19"/>
        <v>0</v>
      </c>
      <c r="AO25" s="223"/>
      <c r="AQ25" s="224">
        <v>500</v>
      </c>
      <c r="AR25" s="225">
        <v>1.954</v>
      </c>
      <c r="AS25" s="226">
        <f t="shared" si="20"/>
        <v>0</v>
      </c>
      <c r="AT25" s="223"/>
      <c r="AU25" s="232"/>
      <c r="AV25" s="230">
        <v>500</v>
      </c>
      <c r="AW25" s="231">
        <v>14.51</v>
      </c>
      <c r="AX25" s="229">
        <f t="shared" si="21"/>
        <v>0</v>
      </c>
      <c r="AY25" s="223"/>
      <c r="AZ25" s="125"/>
      <c r="BA25" s="230">
        <v>500</v>
      </c>
      <c r="BB25" s="233">
        <v>1.014</v>
      </c>
      <c r="BC25" s="226">
        <f t="shared" si="22"/>
        <v>0</v>
      </c>
      <c r="BD25" s="223"/>
      <c r="BE25" s="5"/>
      <c r="BF25" s="154">
        <v>550</v>
      </c>
      <c r="BG25" s="219">
        <v>3.0739999999999998</v>
      </c>
      <c r="BH25" s="226">
        <f t="shared" si="23"/>
        <v>0</v>
      </c>
      <c r="BI25" s="223"/>
      <c r="BK25" s="224">
        <v>500</v>
      </c>
      <c r="BL25" s="225">
        <v>1.954</v>
      </c>
      <c r="BM25" s="226">
        <f t="shared" si="24"/>
        <v>0</v>
      </c>
      <c r="BN25" s="223"/>
      <c r="BO25" s="232"/>
      <c r="BP25" s="230">
        <v>500</v>
      </c>
      <c r="BQ25" s="231">
        <v>14.51</v>
      </c>
      <c r="BR25" s="229">
        <f t="shared" si="25"/>
        <v>0</v>
      </c>
      <c r="BS25" s="223"/>
      <c r="BT25" s="125"/>
      <c r="BU25" s="230">
        <v>500</v>
      </c>
      <c r="BV25" s="233">
        <v>1.014</v>
      </c>
      <c r="BW25" s="226">
        <f t="shared" si="26"/>
        <v>0</v>
      </c>
      <c r="BX25" s="223"/>
      <c r="BY25" s="5"/>
      <c r="BZ25" s="154">
        <v>500</v>
      </c>
      <c r="CA25" s="219">
        <v>1.0640000000000001</v>
      </c>
      <c r="CB25" s="226">
        <f t="shared" si="27"/>
        <v>0</v>
      </c>
      <c r="CC25" s="223"/>
      <c r="CE25" s="224">
        <v>500</v>
      </c>
      <c r="CF25" s="225">
        <v>1.954</v>
      </c>
      <c r="CG25" s="226">
        <f t="shared" si="28"/>
        <v>0</v>
      </c>
      <c r="CH25" s="223"/>
      <c r="CI25" s="232"/>
      <c r="CJ25" s="230">
        <v>500</v>
      </c>
      <c r="CK25" s="231">
        <v>14.51</v>
      </c>
      <c r="CL25" s="229">
        <f t="shared" si="29"/>
        <v>0</v>
      </c>
      <c r="CM25" s="223"/>
      <c r="CN25" s="125"/>
      <c r="CO25" s="230">
        <v>500</v>
      </c>
      <c r="CP25" s="233">
        <v>1.014</v>
      </c>
      <c r="CQ25" s="226">
        <f t="shared" si="30"/>
        <v>0</v>
      </c>
      <c r="CR25" s="223"/>
      <c r="CT25" s="154">
        <v>500</v>
      </c>
      <c r="CU25" s="219">
        <v>1.0640000000000001</v>
      </c>
      <c r="CV25" s="226">
        <f t="shared" si="31"/>
        <v>0</v>
      </c>
      <c r="CW25" s="223"/>
      <c r="CY25" s="224">
        <v>500</v>
      </c>
      <c r="CZ25" s="225">
        <v>1.954</v>
      </c>
      <c r="DA25" s="226">
        <f t="shared" si="32"/>
        <v>0</v>
      </c>
      <c r="DB25" s="223"/>
      <c r="DC25" s="232"/>
      <c r="DD25" s="230">
        <v>500</v>
      </c>
      <c r="DE25" s="231">
        <v>14.51</v>
      </c>
      <c r="DF25" s="229">
        <f t="shared" si="33"/>
        <v>0</v>
      </c>
      <c r="DG25" s="223"/>
      <c r="DH25" s="125"/>
      <c r="DI25" s="230">
        <v>500</v>
      </c>
      <c r="DJ25" s="233">
        <v>1.014</v>
      </c>
      <c r="DK25" s="226">
        <f t="shared" si="34"/>
        <v>0</v>
      </c>
      <c r="DL25" s="223"/>
      <c r="DN25" s="154">
        <v>500</v>
      </c>
      <c r="DO25" s="219">
        <v>1.0640000000000001</v>
      </c>
      <c r="DP25" s="226">
        <f t="shared" si="35"/>
        <v>0</v>
      </c>
      <c r="DQ25" s="223"/>
      <c r="DS25" s="224">
        <v>500</v>
      </c>
      <c r="DT25" s="225">
        <v>1.954</v>
      </c>
      <c r="DU25" s="226">
        <f t="shared" si="36"/>
        <v>0</v>
      </c>
      <c r="DV25" s="223"/>
      <c r="DW25" s="232"/>
      <c r="DX25" s="230">
        <v>500</v>
      </c>
      <c r="DY25" s="231">
        <v>14.51</v>
      </c>
      <c r="DZ25" s="229">
        <f t="shared" si="37"/>
        <v>0</v>
      </c>
      <c r="EA25" s="223"/>
      <c r="EB25" s="125"/>
      <c r="EC25" s="230">
        <v>500</v>
      </c>
      <c r="ED25" s="233">
        <v>1.014</v>
      </c>
      <c r="EE25" s="226">
        <f t="shared" si="38"/>
        <v>0</v>
      </c>
      <c r="EF25" s="223"/>
      <c r="EH25" s="154">
        <v>500</v>
      </c>
      <c r="EI25" s="219">
        <v>1.0640000000000001</v>
      </c>
      <c r="EJ25" s="226">
        <f t="shared" si="39"/>
        <v>0</v>
      </c>
      <c r="EK25" s="223"/>
      <c r="EM25" s="230">
        <v>500</v>
      </c>
      <c r="EN25" s="233">
        <v>1.014</v>
      </c>
      <c r="EO25" s="226">
        <f t="shared" si="40"/>
        <v>0</v>
      </c>
      <c r="EP25" s="223"/>
      <c r="EQ25" s="232"/>
      <c r="ER25" s="224"/>
      <c r="ES25" s="224"/>
      <c r="ET25" s="389"/>
      <c r="EU25" s="5"/>
      <c r="EV25" s="125"/>
      <c r="EW25" s="230">
        <v>500</v>
      </c>
      <c r="EX25" s="233">
        <v>1.014</v>
      </c>
      <c r="EY25" s="226">
        <f t="shared" si="41"/>
        <v>0</v>
      </c>
      <c r="EZ25" s="223"/>
      <c r="FA25" s="232"/>
      <c r="FB25" s="224"/>
      <c r="FC25" s="224"/>
      <c r="FD25" s="389"/>
      <c r="FE25" s="5"/>
      <c r="FG25" s="224">
        <v>500</v>
      </c>
      <c r="FH25" s="225">
        <v>1.954</v>
      </c>
      <c r="FI25" s="226">
        <f t="shared" si="42"/>
        <v>0</v>
      </c>
      <c r="FJ25" s="223"/>
      <c r="FK25" s="232"/>
      <c r="FL25" s="230">
        <v>500</v>
      </c>
      <c r="FM25" s="231">
        <v>14.51</v>
      </c>
      <c r="FN25" s="229">
        <f t="shared" si="43"/>
        <v>0</v>
      </c>
      <c r="FO25" s="223"/>
      <c r="FP25" s="125"/>
      <c r="FQ25" s="230">
        <v>500</v>
      </c>
      <c r="FR25" s="233">
        <v>1.014</v>
      </c>
      <c r="FS25" s="226">
        <f t="shared" si="44"/>
        <v>0</v>
      </c>
      <c r="FT25" s="223"/>
      <c r="FV25" s="154">
        <v>500</v>
      </c>
      <c r="FW25" s="219">
        <v>1.0640000000000001</v>
      </c>
      <c r="FX25" s="226">
        <f t="shared" si="45"/>
        <v>0</v>
      </c>
      <c r="FY25" s="223"/>
      <c r="GA25" s="224">
        <v>500</v>
      </c>
      <c r="GB25" s="225">
        <v>1.954</v>
      </c>
      <c r="GC25" s="226">
        <f t="shared" si="46"/>
        <v>0</v>
      </c>
      <c r="GD25" s="223"/>
      <c r="GE25" s="232"/>
      <c r="GF25" s="230">
        <v>500</v>
      </c>
      <c r="GG25" s="231">
        <v>14.51</v>
      </c>
      <c r="GH25" s="229">
        <f t="shared" si="47"/>
        <v>0</v>
      </c>
      <c r="GI25" s="223"/>
      <c r="GJ25" s="125"/>
      <c r="GK25" s="230">
        <v>500</v>
      </c>
      <c r="GL25" s="233">
        <v>1.014</v>
      </c>
      <c r="GM25" s="226">
        <f t="shared" si="48"/>
        <v>0</v>
      </c>
      <c r="GN25" s="223"/>
      <c r="GP25" s="154">
        <v>500</v>
      </c>
      <c r="GQ25" s="219">
        <v>1.0640000000000001</v>
      </c>
      <c r="GR25" s="226">
        <f t="shared" si="49"/>
        <v>0</v>
      </c>
      <c r="GS25" s="223"/>
      <c r="GU25" s="224">
        <v>500</v>
      </c>
      <c r="GV25" s="225">
        <v>1.954</v>
      </c>
      <c r="GW25" s="226">
        <f t="shared" si="50"/>
        <v>0</v>
      </c>
      <c r="GX25" s="223"/>
      <c r="GY25" s="232"/>
      <c r="GZ25" s="230">
        <v>500</v>
      </c>
      <c r="HA25" s="231">
        <v>14.51</v>
      </c>
      <c r="HB25" s="229">
        <f t="shared" si="51"/>
        <v>0</v>
      </c>
      <c r="HC25" s="223"/>
      <c r="HD25" s="125"/>
      <c r="HE25" s="230">
        <v>500</v>
      </c>
      <c r="HF25" s="233">
        <v>1.014</v>
      </c>
      <c r="HG25" s="226">
        <f t="shared" si="52"/>
        <v>0</v>
      </c>
      <c r="HH25" s="223"/>
      <c r="HI25" s="5"/>
      <c r="HJ25" s="154">
        <v>550</v>
      </c>
      <c r="HK25" s="219">
        <v>3.0739999999999998</v>
      </c>
      <c r="HL25" s="226">
        <f t="shared" si="53"/>
        <v>0</v>
      </c>
      <c r="HM25" s="223"/>
      <c r="HO25" s="224">
        <v>500</v>
      </c>
      <c r="HP25" s="225">
        <v>1.954</v>
      </c>
      <c r="HQ25" s="226">
        <f t="shared" si="54"/>
        <v>1.9785597544773244</v>
      </c>
      <c r="HR25" s="223"/>
      <c r="HS25" s="232"/>
      <c r="HT25" s="230">
        <v>500</v>
      </c>
      <c r="HU25" s="231">
        <v>14.51</v>
      </c>
      <c r="HV25" s="229">
        <f t="shared" si="55"/>
        <v>14.526373169651549</v>
      </c>
      <c r="HW25" s="223"/>
      <c r="HX25" s="125"/>
      <c r="HY25" s="230">
        <v>500</v>
      </c>
      <c r="HZ25" s="233">
        <v>1.014</v>
      </c>
      <c r="IA25" s="226">
        <f t="shared" si="56"/>
        <v>1.0401970714424793</v>
      </c>
      <c r="IB25" s="223"/>
      <c r="IC25" s="5"/>
      <c r="ID25" s="154">
        <v>550</v>
      </c>
      <c r="IE25" s="219">
        <v>3.0739999999999998</v>
      </c>
      <c r="IF25" s="226">
        <f t="shared" si="57"/>
        <v>0</v>
      </c>
      <c r="IG25" s="223"/>
      <c r="II25" s="224">
        <v>500</v>
      </c>
      <c r="IJ25" s="225">
        <v>1.954</v>
      </c>
      <c r="IK25" s="226">
        <f t="shared" si="58"/>
        <v>1.9594098328981118</v>
      </c>
      <c r="IL25" s="223"/>
      <c r="IM25" s="232"/>
      <c r="IN25" s="230">
        <v>500</v>
      </c>
      <c r="IO25" s="231">
        <v>14.51</v>
      </c>
      <c r="IP25" s="229">
        <f t="shared" si="59"/>
        <v>14.513606555265408</v>
      </c>
      <c r="IQ25" s="223"/>
      <c r="IR25" s="125"/>
      <c r="IS25" s="230">
        <v>500</v>
      </c>
      <c r="IT25" s="233">
        <v>1.014</v>
      </c>
      <c r="IU25" s="226">
        <f t="shared" si="60"/>
        <v>1.0197704884246526</v>
      </c>
      <c r="IV25" s="223"/>
      <c r="IW25" s="5"/>
      <c r="IX25" s="154">
        <v>550</v>
      </c>
      <c r="IY25" s="219">
        <v>3.0739999999999998</v>
      </c>
      <c r="IZ25" s="226">
        <f t="shared" si="61"/>
        <v>0</v>
      </c>
      <c r="JA25" s="223"/>
      <c r="JC25" s="224">
        <v>500</v>
      </c>
      <c r="JD25" s="225">
        <v>1.954</v>
      </c>
      <c r="JE25" s="226">
        <f t="shared" si="62"/>
        <v>0</v>
      </c>
      <c r="JF25" s="223"/>
      <c r="JG25" s="232"/>
      <c r="JH25" s="230">
        <v>500</v>
      </c>
      <c r="JI25" s="231">
        <v>14.51</v>
      </c>
      <c r="JJ25" s="229">
        <f t="shared" si="63"/>
        <v>0</v>
      </c>
      <c r="JK25" s="223"/>
      <c r="JL25" s="125"/>
      <c r="JM25" s="230">
        <v>500</v>
      </c>
      <c r="JN25" s="233">
        <v>1.014</v>
      </c>
      <c r="JO25" s="226">
        <f t="shared" si="64"/>
        <v>0</v>
      </c>
      <c r="JP25" s="223"/>
      <c r="JQ25" s="5"/>
      <c r="JR25" s="154">
        <v>550</v>
      </c>
      <c r="JS25" s="219">
        <v>3.0739999999999998</v>
      </c>
      <c r="JT25" s="226">
        <f t="shared" si="65"/>
        <v>0</v>
      </c>
      <c r="JU25" s="223"/>
      <c r="JW25" s="224">
        <v>500</v>
      </c>
      <c r="JX25" s="225">
        <v>1.954</v>
      </c>
      <c r="JY25" s="226">
        <f t="shared" si="0"/>
        <v>0</v>
      </c>
      <c r="JZ25" s="223"/>
      <c r="KA25" s="232"/>
      <c r="KB25" s="230">
        <v>500</v>
      </c>
      <c r="KC25" s="231">
        <v>14.51</v>
      </c>
      <c r="KD25" s="229">
        <f t="shared" si="1"/>
        <v>0</v>
      </c>
      <c r="KE25" s="223"/>
      <c r="KF25" s="125"/>
      <c r="KG25" s="230">
        <v>500</v>
      </c>
      <c r="KH25" s="233">
        <v>1.014</v>
      </c>
      <c r="KI25" s="226">
        <f t="shared" si="2"/>
        <v>0</v>
      </c>
      <c r="KJ25" s="223"/>
      <c r="KK25" s="5"/>
      <c r="KL25" s="154">
        <v>550</v>
      </c>
      <c r="KM25" s="219">
        <v>3.0739999999999998</v>
      </c>
      <c r="KN25" s="226">
        <f t="shared" si="3"/>
        <v>0</v>
      </c>
      <c r="KO25" s="223"/>
      <c r="KQ25" s="224">
        <v>500</v>
      </c>
      <c r="KR25" s="225">
        <v>1.954</v>
      </c>
      <c r="KS25" s="226">
        <f t="shared" si="4"/>
        <v>0</v>
      </c>
      <c r="KT25" s="223"/>
      <c r="KU25" s="232"/>
      <c r="KV25" s="230">
        <v>500</v>
      </c>
      <c r="KW25" s="231">
        <v>14.51</v>
      </c>
      <c r="KX25" s="229">
        <f t="shared" si="5"/>
        <v>0</v>
      </c>
      <c r="KY25" s="223"/>
      <c r="KZ25" s="125"/>
      <c r="LA25" s="230">
        <v>500</v>
      </c>
      <c r="LB25" s="233">
        <v>1.014</v>
      </c>
      <c r="LC25" s="226">
        <f t="shared" si="6"/>
        <v>0</v>
      </c>
      <c r="LD25" s="223"/>
      <c r="LE25" s="5"/>
      <c r="LF25" s="154">
        <v>550</v>
      </c>
      <c r="LG25" s="219">
        <v>3.0739999999999998</v>
      </c>
      <c r="LH25" s="226">
        <f t="shared" si="7"/>
        <v>0</v>
      </c>
      <c r="LI25" s="223"/>
      <c r="LK25" s="224">
        <v>500</v>
      </c>
      <c r="LL25" s="225">
        <v>1.954</v>
      </c>
      <c r="LM25" s="226" t="e">
        <f t="shared" si="8"/>
        <v>#REF!</v>
      </c>
      <c r="LN25" s="223"/>
      <c r="LO25" s="232"/>
      <c r="LP25" s="230">
        <v>500</v>
      </c>
      <c r="LQ25" s="231">
        <v>14.51</v>
      </c>
      <c r="LR25" s="229" t="e">
        <f t="shared" si="9"/>
        <v>#REF!</v>
      </c>
      <c r="LS25" s="223"/>
      <c r="LT25" s="125"/>
      <c r="LU25" s="230">
        <v>500</v>
      </c>
      <c r="LV25" s="233">
        <v>1.014</v>
      </c>
      <c r="LW25" s="226" t="e">
        <f t="shared" si="10"/>
        <v>#REF!</v>
      </c>
      <c r="LX25" s="223"/>
      <c r="LY25" s="5"/>
      <c r="LZ25" s="154">
        <v>550</v>
      </c>
      <c r="MA25" s="219">
        <v>3.0739999999999998</v>
      </c>
      <c r="MB25" s="226" t="e">
        <f t="shared" si="11"/>
        <v>#REF!</v>
      </c>
      <c r="MC25" s="223"/>
    </row>
    <row r="26" spans="2:341" ht="16" thickBot="1" x14ac:dyDescent="0.25">
      <c r="B26" s="232"/>
      <c r="C26" s="224">
        <v>550</v>
      </c>
      <c r="D26" s="225">
        <v>1.984</v>
      </c>
      <c r="E26" s="226">
        <f t="shared" si="12"/>
        <v>0</v>
      </c>
      <c r="F26" s="223"/>
      <c r="G26" s="232"/>
      <c r="H26" s="230">
        <v>550</v>
      </c>
      <c r="I26" s="231">
        <v>14.53</v>
      </c>
      <c r="J26" s="229">
        <f t="shared" si="13"/>
        <v>0</v>
      </c>
      <c r="K26" s="223"/>
      <c r="L26" s="125"/>
      <c r="M26" s="230">
        <v>550</v>
      </c>
      <c r="N26" s="233">
        <v>1.046</v>
      </c>
      <c r="O26" s="226">
        <f t="shared" si="14"/>
        <v>0</v>
      </c>
      <c r="P26" s="223"/>
      <c r="Q26" s="5"/>
      <c r="R26" s="154">
        <v>600</v>
      </c>
      <c r="S26" s="219">
        <v>3.2559999999999998</v>
      </c>
      <c r="T26" s="226">
        <f t="shared" si="15"/>
        <v>0</v>
      </c>
      <c r="U26" s="223"/>
      <c r="V26" s="237"/>
      <c r="W26" s="224">
        <v>550</v>
      </c>
      <c r="X26" s="225">
        <v>1.984</v>
      </c>
      <c r="Y26" s="226">
        <f t="shared" si="16"/>
        <v>0</v>
      </c>
      <c r="Z26" s="223"/>
      <c r="AA26" s="232"/>
      <c r="AB26" s="230">
        <v>550</v>
      </c>
      <c r="AC26" s="231">
        <v>14.53</v>
      </c>
      <c r="AD26" s="229">
        <f t="shared" si="17"/>
        <v>0</v>
      </c>
      <c r="AE26" s="223"/>
      <c r="AF26" s="125"/>
      <c r="AG26" s="230">
        <v>550</v>
      </c>
      <c r="AH26" s="233">
        <v>1.046</v>
      </c>
      <c r="AI26" s="226">
        <f t="shared" si="18"/>
        <v>0</v>
      </c>
      <c r="AJ26" s="223"/>
      <c r="AK26" s="5"/>
      <c r="AL26" s="154">
        <v>550</v>
      </c>
      <c r="AM26" s="219">
        <v>1.075</v>
      </c>
      <c r="AN26" s="226">
        <f t="shared" si="19"/>
        <v>0</v>
      </c>
      <c r="AO26" s="223"/>
      <c r="AQ26" s="224">
        <v>550</v>
      </c>
      <c r="AR26" s="225">
        <v>1.984</v>
      </c>
      <c r="AS26" s="226">
        <f t="shared" si="20"/>
        <v>0</v>
      </c>
      <c r="AT26" s="223"/>
      <c r="AU26" s="232"/>
      <c r="AV26" s="230">
        <v>550</v>
      </c>
      <c r="AW26" s="231">
        <v>14.53</v>
      </c>
      <c r="AX26" s="229">
        <f t="shared" si="21"/>
        <v>0</v>
      </c>
      <c r="AY26" s="223"/>
      <c r="AZ26" s="125"/>
      <c r="BA26" s="230">
        <v>550</v>
      </c>
      <c r="BB26" s="233">
        <v>1.046</v>
      </c>
      <c r="BC26" s="226">
        <f t="shared" si="22"/>
        <v>0</v>
      </c>
      <c r="BD26" s="223"/>
      <c r="BE26" s="5"/>
      <c r="BF26" s="154">
        <v>600</v>
      </c>
      <c r="BG26" s="219">
        <v>3.2559999999999998</v>
      </c>
      <c r="BH26" s="226">
        <f t="shared" si="23"/>
        <v>0</v>
      </c>
      <c r="BI26" s="223"/>
      <c r="BK26" s="224">
        <v>550</v>
      </c>
      <c r="BL26" s="225">
        <v>1.984</v>
      </c>
      <c r="BM26" s="226">
        <f t="shared" si="24"/>
        <v>0</v>
      </c>
      <c r="BN26" s="223"/>
      <c r="BO26" s="232"/>
      <c r="BP26" s="230">
        <v>550</v>
      </c>
      <c r="BQ26" s="231">
        <v>14.53</v>
      </c>
      <c r="BR26" s="229">
        <f t="shared" si="25"/>
        <v>0</v>
      </c>
      <c r="BS26" s="223"/>
      <c r="BT26" s="125"/>
      <c r="BU26" s="230">
        <v>550</v>
      </c>
      <c r="BV26" s="233">
        <v>1.046</v>
      </c>
      <c r="BW26" s="226">
        <f t="shared" si="26"/>
        <v>0</v>
      </c>
      <c r="BX26" s="223"/>
      <c r="BY26" s="5"/>
      <c r="BZ26" s="154">
        <v>550</v>
      </c>
      <c r="CA26" s="219">
        <v>1.075</v>
      </c>
      <c r="CB26" s="226">
        <f t="shared" si="27"/>
        <v>0</v>
      </c>
      <c r="CC26" s="223"/>
      <c r="CE26" s="224">
        <v>550</v>
      </c>
      <c r="CF26" s="225">
        <v>1.984</v>
      </c>
      <c r="CG26" s="226">
        <f t="shared" si="28"/>
        <v>0</v>
      </c>
      <c r="CH26" s="223"/>
      <c r="CI26" s="232"/>
      <c r="CJ26" s="230">
        <v>550</v>
      </c>
      <c r="CK26" s="231">
        <v>14.53</v>
      </c>
      <c r="CL26" s="229">
        <f t="shared" si="29"/>
        <v>0</v>
      </c>
      <c r="CM26" s="223"/>
      <c r="CN26" s="125"/>
      <c r="CO26" s="230">
        <v>550</v>
      </c>
      <c r="CP26" s="233">
        <v>1.046</v>
      </c>
      <c r="CQ26" s="226">
        <f t="shared" si="30"/>
        <v>0</v>
      </c>
      <c r="CR26" s="223"/>
      <c r="CT26" s="154">
        <v>550</v>
      </c>
      <c r="CU26" s="219">
        <v>1.075</v>
      </c>
      <c r="CV26" s="226">
        <f t="shared" si="31"/>
        <v>0</v>
      </c>
      <c r="CW26" s="223"/>
      <c r="CY26" s="224">
        <v>550</v>
      </c>
      <c r="CZ26" s="225">
        <v>1.984</v>
      </c>
      <c r="DA26" s="226">
        <f t="shared" si="32"/>
        <v>0</v>
      </c>
      <c r="DB26" s="223"/>
      <c r="DC26" s="232"/>
      <c r="DD26" s="230">
        <v>550</v>
      </c>
      <c r="DE26" s="231">
        <v>14.53</v>
      </c>
      <c r="DF26" s="229">
        <f t="shared" si="33"/>
        <v>0</v>
      </c>
      <c r="DG26" s="223"/>
      <c r="DH26" s="125"/>
      <c r="DI26" s="230">
        <v>550</v>
      </c>
      <c r="DJ26" s="233">
        <v>1.046</v>
      </c>
      <c r="DK26" s="226">
        <f t="shared" si="34"/>
        <v>0</v>
      </c>
      <c r="DL26" s="223"/>
      <c r="DN26" s="154">
        <v>550</v>
      </c>
      <c r="DO26" s="219">
        <v>1.075</v>
      </c>
      <c r="DP26" s="226">
        <f t="shared" si="35"/>
        <v>0</v>
      </c>
      <c r="DQ26" s="223"/>
      <c r="DS26" s="224">
        <v>550</v>
      </c>
      <c r="DT26" s="225">
        <v>1.984</v>
      </c>
      <c r="DU26" s="226">
        <f t="shared" si="36"/>
        <v>0</v>
      </c>
      <c r="DV26" s="223"/>
      <c r="DW26" s="232"/>
      <c r="DX26" s="230">
        <v>550</v>
      </c>
      <c r="DY26" s="231">
        <v>14.53</v>
      </c>
      <c r="DZ26" s="229">
        <f t="shared" si="37"/>
        <v>0</v>
      </c>
      <c r="EA26" s="223"/>
      <c r="EB26" s="125"/>
      <c r="EC26" s="230">
        <v>550</v>
      </c>
      <c r="ED26" s="233">
        <v>1.046</v>
      </c>
      <c r="EE26" s="226">
        <f t="shared" si="38"/>
        <v>0</v>
      </c>
      <c r="EF26" s="223"/>
      <c r="EH26" s="154">
        <v>550</v>
      </c>
      <c r="EI26" s="219">
        <v>1.075</v>
      </c>
      <c r="EJ26" s="226">
        <f t="shared" si="39"/>
        <v>0</v>
      </c>
      <c r="EK26" s="223"/>
      <c r="EM26" s="230">
        <v>550</v>
      </c>
      <c r="EN26" s="233">
        <v>1.046</v>
      </c>
      <c r="EO26" s="226">
        <f t="shared" si="40"/>
        <v>0</v>
      </c>
      <c r="EP26" s="223"/>
      <c r="EQ26" s="232"/>
      <c r="ER26" s="224"/>
      <c r="ES26" s="224"/>
      <c r="ET26" s="389"/>
      <c r="EU26" s="5"/>
      <c r="EV26" s="125"/>
      <c r="EW26" s="230">
        <v>550</v>
      </c>
      <c r="EX26" s="233">
        <v>1.046</v>
      </c>
      <c r="EY26" s="226">
        <f t="shared" si="41"/>
        <v>0</v>
      </c>
      <c r="EZ26" s="223"/>
      <c r="FA26" s="232"/>
      <c r="FB26" s="224"/>
      <c r="FC26" s="224"/>
      <c r="FD26" s="389"/>
      <c r="FE26" s="5"/>
      <c r="FG26" s="224">
        <v>550</v>
      </c>
      <c r="FH26" s="225">
        <v>1.984</v>
      </c>
      <c r="FI26" s="226">
        <f t="shared" si="42"/>
        <v>0</v>
      </c>
      <c r="FJ26" s="223"/>
      <c r="FK26" s="232"/>
      <c r="FL26" s="230">
        <v>550</v>
      </c>
      <c r="FM26" s="231">
        <v>14.53</v>
      </c>
      <c r="FN26" s="229">
        <f t="shared" si="43"/>
        <v>0</v>
      </c>
      <c r="FO26" s="223"/>
      <c r="FP26" s="125"/>
      <c r="FQ26" s="230">
        <v>550</v>
      </c>
      <c r="FR26" s="233">
        <v>1.046</v>
      </c>
      <c r="FS26" s="226">
        <f t="shared" si="44"/>
        <v>0</v>
      </c>
      <c r="FT26" s="223"/>
      <c r="FV26" s="154">
        <v>550</v>
      </c>
      <c r="FW26" s="219">
        <v>1.075</v>
      </c>
      <c r="FX26" s="226">
        <f t="shared" si="45"/>
        <v>0</v>
      </c>
      <c r="FY26" s="223"/>
      <c r="GA26" s="224">
        <v>550</v>
      </c>
      <c r="GB26" s="225">
        <v>1.984</v>
      </c>
      <c r="GC26" s="226">
        <f t="shared" si="46"/>
        <v>0</v>
      </c>
      <c r="GD26" s="223"/>
      <c r="GE26" s="232"/>
      <c r="GF26" s="230">
        <v>550</v>
      </c>
      <c r="GG26" s="231">
        <v>14.53</v>
      </c>
      <c r="GH26" s="229">
        <f t="shared" si="47"/>
        <v>0</v>
      </c>
      <c r="GI26" s="223"/>
      <c r="GJ26" s="125"/>
      <c r="GK26" s="230">
        <v>550</v>
      </c>
      <c r="GL26" s="233">
        <v>1.046</v>
      </c>
      <c r="GM26" s="226">
        <f t="shared" si="48"/>
        <v>0</v>
      </c>
      <c r="GN26" s="223"/>
      <c r="GP26" s="154">
        <v>550</v>
      </c>
      <c r="GQ26" s="219">
        <v>1.075</v>
      </c>
      <c r="GR26" s="226">
        <f t="shared" si="49"/>
        <v>0</v>
      </c>
      <c r="GS26" s="223"/>
      <c r="GU26" s="224">
        <v>550</v>
      </c>
      <c r="GV26" s="225">
        <v>1.984</v>
      </c>
      <c r="GW26" s="226">
        <f t="shared" si="50"/>
        <v>0</v>
      </c>
      <c r="GX26" s="223"/>
      <c r="GY26" s="232"/>
      <c r="GZ26" s="230">
        <v>550</v>
      </c>
      <c r="HA26" s="231">
        <v>14.53</v>
      </c>
      <c r="HB26" s="229">
        <f t="shared" si="51"/>
        <v>0</v>
      </c>
      <c r="HC26" s="223"/>
      <c r="HD26" s="125"/>
      <c r="HE26" s="230">
        <v>550</v>
      </c>
      <c r="HF26" s="233">
        <v>1.046</v>
      </c>
      <c r="HG26" s="226">
        <f t="shared" si="52"/>
        <v>0</v>
      </c>
      <c r="HH26" s="223"/>
      <c r="HI26" s="5"/>
      <c r="HJ26" s="154">
        <v>600</v>
      </c>
      <c r="HK26" s="219">
        <v>3.2559999999999998</v>
      </c>
      <c r="HL26" s="226">
        <f t="shared" si="53"/>
        <v>0</v>
      </c>
      <c r="HM26" s="223"/>
      <c r="HO26" s="224">
        <v>550</v>
      </c>
      <c r="HP26" s="225">
        <v>1.984</v>
      </c>
      <c r="HQ26" s="226">
        <f t="shared" si="54"/>
        <v>0</v>
      </c>
      <c r="HR26" s="223"/>
      <c r="HS26" s="232"/>
      <c r="HT26" s="230">
        <v>550</v>
      </c>
      <c r="HU26" s="231">
        <v>14.53</v>
      </c>
      <c r="HV26" s="229">
        <f t="shared" si="55"/>
        <v>0</v>
      </c>
      <c r="HW26" s="223"/>
      <c r="HX26" s="125"/>
      <c r="HY26" s="230">
        <v>550</v>
      </c>
      <c r="HZ26" s="233">
        <v>1.046</v>
      </c>
      <c r="IA26" s="226">
        <f t="shared" si="56"/>
        <v>0</v>
      </c>
      <c r="IB26" s="223"/>
      <c r="IC26" s="5"/>
      <c r="ID26" s="154">
        <v>600</v>
      </c>
      <c r="IE26" s="219">
        <v>3.2559999999999998</v>
      </c>
      <c r="IF26" s="226">
        <f t="shared" si="57"/>
        <v>0</v>
      </c>
      <c r="IG26" s="223"/>
      <c r="II26" s="224">
        <v>550</v>
      </c>
      <c r="IJ26" s="225">
        <v>1.984</v>
      </c>
      <c r="IK26" s="226">
        <f t="shared" si="58"/>
        <v>0</v>
      </c>
      <c r="IL26" s="223"/>
      <c r="IM26" s="232"/>
      <c r="IN26" s="230">
        <v>550</v>
      </c>
      <c r="IO26" s="231">
        <v>14.53</v>
      </c>
      <c r="IP26" s="229">
        <f t="shared" si="59"/>
        <v>0</v>
      </c>
      <c r="IQ26" s="223"/>
      <c r="IR26" s="125"/>
      <c r="IS26" s="230">
        <v>550</v>
      </c>
      <c r="IT26" s="233">
        <v>1.046</v>
      </c>
      <c r="IU26" s="226">
        <f t="shared" si="60"/>
        <v>0</v>
      </c>
      <c r="IV26" s="223"/>
      <c r="IW26" s="5"/>
      <c r="IX26" s="154">
        <v>600</v>
      </c>
      <c r="IY26" s="219">
        <v>3.2559999999999998</v>
      </c>
      <c r="IZ26" s="226">
        <f t="shared" si="61"/>
        <v>0</v>
      </c>
      <c r="JA26" s="223"/>
      <c r="JC26" s="224">
        <v>550</v>
      </c>
      <c r="JD26" s="225">
        <v>1.984</v>
      </c>
      <c r="JE26" s="226">
        <f t="shared" si="62"/>
        <v>0</v>
      </c>
      <c r="JF26" s="223"/>
      <c r="JG26" s="232"/>
      <c r="JH26" s="230">
        <v>550</v>
      </c>
      <c r="JI26" s="231">
        <v>14.53</v>
      </c>
      <c r="JJ26" s="229">
        <f t="shared" si="63"/>
        <v>0</v>
      </c>
      <c r="JK26" s="223"/>
      <c r="JL26" s="125"/>
      <c r="JM26" s="230">
        <v>550</v>
      </c>
      <c r="JN26" s="233">
        <v>1.046</v>
      </c>
      <c r="JO26" s="226">
        <f t="shared" si="64"/>
        <v>0</v>
      </c>
      <c r="JP26" s="223"/>
      <c r="JQ26" s="5"/>
      <c r="JR26" s="154">
        <v>600</v>
      </c>
      <c r="JS26" s="219">
        <v>3.2559999999999998</v>
      </c>
      <c r="JT26" s="226">
        <f t="shared" si="65"/>
        <v>0</v>
      </c>
      <c r="JU26" s="223"/>
      <c r="JW26" s="224">
        <v>550</v>
      </c>
      <c r="JX26" s="225">
        <v>1.984</v>
      </c>
      <c r="JY26" s="226">
        <f t="shared" si="0"/>
        <v>0</v>
      </c>
      <c r="JZ26" s="223"/>
      <c r="KA26" s="232"/>
      <c r="KB26" s="230">
        <v>550</v>
      </c>
      <c r="KC26" s="231">
        <v>14.53</v>
      </c>
      <c r="KD26" s="229">
        <f t="shared" si="1"/>
        <v>0</v>
      </c>
      <c r="KE26" s="223"/>
      <c r="KF26" s="125"/>
      <c r="KG26" s="230">
        <v>550</v>
      </c>
      <c r="KH26" s="233">
        <v>1.046</v>
      </c>
      <c r="KI26" s="226">
        <f t="shared" si="2"/>
        <v>0</v>
      </c>
      <c r="KJ26" s="223"/>
      <c r="KK26" s="5"/>
      <c r="KL26" s="154">
        <v>600</v>
      </c>
      <c r="KM26" s="219">
        <v>3.2559999999999998</v>
      </c>
      <c r="KN26" s="226">
        <f t="shared" si="3"/>
        <v>0</v>
      </c>
      <c r="KO26" s="223"/>
      <c r="KQ26" s="224">
        <v>550</v>
      </c>
      <c r="KR26" s="225">
        <v>1.984</v>
      </c>
      <c r="KS26" s="226">
        <f t="shared" si="4"/>
        <v>0</v>
      </c>
      <c r="KT26" s="223"/>
      <c r="KU26" s="232"/>
      <c r="KV26" s="230">
        <v>550</v>
      </c>
      <c r="KW26" s="231">
        <v>14.53</v>
      </c>
      <c r="KX26" s="229">
        <f t="shared" si="5"/>
        <v>0</v>
      </c>
      <c r="KY26" s="223"/>
      <c r="KZ26" s="125"/>
      <c r="LA26" s="230">
        <v>550</v>
      </c>
      <c r="LB26" s="233">
        <v>1.046</v>
      </c>
      <c r="LC26" s="226">
        <f t="shared" si="6"/>
        <v>0</v>
      </c>
      <c r="LD26" s="223"/>
      <c r="LE26" s="5"/>
      <c r="LF26" s="154">
        <v>600</v>
      </c>
      <c r="LG26" s="219">
        <v>3.2559999999999998</v>
      </c>
      <c r="LH26" s="226">
        <f t="shared" si="7"/>
        <v>0</v>
      </c>
      <c r="LI26" s="223"/>
      <c r="LK26" s="224">
        <v>550</v>
      </c>
      <c r="LL26" s="225">
        <v>1.984</v>
      </c>
      <c r="LM26" s="226" t="e">
        <f t="shared" si="8"/>
        <v>#REF!</v>
      </c>
      <c r="LN26" s="223"/>
      <c r="LO26" s="232"/>
      <c r="LP26" s="230">
        <v>550</v>
      </c>
      <c r="LQ26" s="231">
        <v>14.53</v>
      </c>
      <c r="LR26" s="229" t="e">
        <f t="shared" si="9"/>
        <v>#REF!</v>
      </c>
      <c r="LS26" s="223"/>
      <c r="LT26" s="125"/>
      <c r="LU26" s="230">
        <v>550</v>
      </c>
      <c r="LV26" s="233">
        <v>1.046</v>
      </c>
      <c r="LW26" s="226" t="e">
        <f t="shared" si="10"/>
        <v>#REF!</v>
      </c>
      <c r="LX26" s="223"/>
      <c r="LY26" s="5"/>
      <c r="LZ26" s="154">
        <v>600</v>
      </c>
      <c r="MA26" s="219">
        <v>3.2559999999999998</v>
      </c>
      <c r="MB26" s="226" t="e">
        <f t="shared" si="11"/>
        <v>#REF!</v>
      </c>
      <c r="MC26" s="223"/>
    </row>
    <row r="27" spans="2:341" ht="16" thickBot="1" x14ac:dyDescent="0.25">
      <c r="B27" s="232"/>
      <c r="C27" s="224">
        <v>600</v>
      </c>
      <c r="D27" s="225">
        <v>2.0150000000000001</v>
      </c>
      <c r="E27" s="226">
        <f t="shared" si="12"/>
        <v>0</v>
      </c>
      <c r="F27" s="223"/>
      <c r="G27" s="232"/>
      <c r="H27" s="230">
        <v>600</v>
      </c>
      <c r="I27" s="231">
        <v>14.55</v>
      </c>
      <c r="J27" s="229">
        <f t="shared" si="13"/>
        <v>0</v>
      </c>
      <c r="K27" s="223"/>
      <c r="L27" s="125"/>
      <c r="M27" s="230">
        <v>600</v>
      </c>
      <c r="N27" s="233">
        <v>1.075</v>
      </c>
      <c r="O27" s="226">
        <f t="shared" si="14"/>
        <v>0</v>
      </c>
      <c r="P27" s="223"/>
      <c r="Q27" s="5"/>
      <c r="R27" s="154">
        <v>650</v>
      </c>
      <c r="S27" s="219">
        <v>3.4319999999999999</v>
      </c>
      <c r="T27" s="226">
        <f t="shared" si="15"/>
        <v>0</v>
      </c>
      <c r="U27" s="223"/>
      <c r="V27" s="237"/>
      <c r="W27" s="224">
        <v>600</v>
      </c>
      <c r="X27" s="225">
        <v>2.0150000000000001</v>
      </c>
      <c r="Y27" s="226">
        <f t="shared" si="16"/>
        <v>0</v>
      </c>
      <c r="Z27" s="223"/>
      <c r="AA27" s="232"/>
      <c r="AB27" s="230">
        <v>600</v>
      </c>
      <c r="AC27" s="231">
        <v>14.55</v>
      </c>
      <c r="AD27" s="229">
        <f t="shared" si="17"/>
        <v>0</v>
      </c>
      <c r="AE27" s="223"/>
      <c r="AF27" s="125"/>
      <c r="AG27" s="230">
        <v>600</v>
      </c>
      <c r="AH27" s="233">
        <v>1.075</v>
      </c>
      <c r="AI27" s="226">
        <f t="shared" si="18"/>
        <v>0</v>
      </c>
      <c r="AJ27" s="223"/>
      <c r="AK27" s="5"/>
      <c r="AL27" s="154">
        <v>600</v>
      </c>
      <c r="AM27" s="219">
        <v>1.087</v>
      </c>
      <c r="AN27" s="226">
        <f t="shared" si="19"/>
        <v>0</v>
      </c>
      <c r="AO27" s="223"/>
      <c r="AQ27" s="224">
        <v>600</v>
      </c>
      <c r="AR27" s="225">
        <v>2.0150000000000001</v>
      </c>
      <c r="AS27" s="226">
        <f t="shared" si="20"/>
        <v>0</v>
      </c>
      <c r="AT27" s="223"/>
      <c r="AU27" s="232"/>
      <c r="AV27" s="230">
        <v>600</v>
      </c>
      <c r="AW27" s="231">
        <v>14.55</v>
      </c>
      <c r="AX27" s="229">
        <f t="shared" si="21"/>
        <v>0</v>
      </c>
      <c r="AY27" s="223"/>
      <c r="AZ27" s="125"/>
      <c r="BA27" s="230">
        <v>600</v>
      </c>
      <c r="BB27" s="233">
        <v>1.075</v>
      </c>
      <c r="BC27" s="226">
        <f t="shared" si="22"/>
        <v>0</v>
      </c>
      <c r="BD27" s="223"/>
      <c r="BE27" s="5"/>
      <c r="BF27" s="154">
        <v>650</v>
      </c>
      <c r="BG27" s="219">
        <v>3.4319999999999999</v>
      </c>
      <c r="BH27" s="226">
        <f t="shared" si="23"/>
        <v>0</v>
      </c>
      <c r="BI27" s="223"/>
      <c r="BK27" s="224">
        <v>600</v>
      </c>
      <c r="BL27" s="225">
        <v>2.0150000000000001</v>
      </c>
      <c r="BM27" s="226">
        <f t="shared" si="24"/>
        <v>0</v>
      </c>
      <c r="BN27" s="223"/>
      <c r="BO27" s="232"/>
      <c r="BP27" s="230">
        <v>600</v>
      </c>
      <c r="BQ27" s="231">
        <v>14.55</v>
      </c>
      <c r="BR27" s="229">
        <f t="shared" si="25"/>
        <v>0</v>
      </c>
      <c r="BS27" s="223"/>
      <c r="BT27" s="125"/>
      <c r="BU27" s="230">
        <v>600</v>
      </c>
      <c r="BV27" s="233">
        <v>1.075</v>
      </c>
      <c r="BW27" s="226">
        <f t="shared" si="26"/>
        <v>0</v>
      </c>
      <c r="BX27" s="223"/>
      <c r="BY27" s="5"/>
      <c r="BZ27" s="154">
        <v>600</v>
      </c>
      <c r="CA27" s="219">
        <v>1.087</v>
      </c>
      <c r="CB27" s="226">
        <f t="shared" si="27"/>
        <v>0</v>
      </c>
      <c r="CC27" s="223"/>
      <c r="CE27" s="224">
        <v>600</v>
      </c>
      <c r="CF27" s="225">
        <v>2.0150000000000001</v>
      </c>
      <c r="CG27" s="226">
        <f t="shared" si="28"/>
        <v>0</v>
      </c>
      <c r="CH27" s="223"/>
      <c r="CI27" s="232"/>
      <c r="CJ27" s="230">
        <v>600</v>
      </c>
      <c r="CK27" s="231">
        <v>14.55</v>
      </c>
      <c r="CL27" s="229">
        <f t="shared" si="29"/>
        <v>0</v>
      </c>
      <c r="CM27" s="223"/>
      <c r="CN27" s="125"/>
      <c r="CO27" s="230">
        <v>600</v>
      </c>
      <c r="CP27" s="233">
        <v>1.075</v>
      </c>
      <c r="CQ27" s="226">
        <f t="shared" si="30"/>
        <v>0</v>
      </c>
      <c r="CR27" s="223"/>
      <c r="CT27" s="154">
        <v>600</v>
      </c>
      <c r="CU27" s="219">
        <v>1.087</v>
      </c>
      <c r="CV27" s="226">
        <f t="shared" si="31"/>
        <v>0</v>
      </c>
      <c r="CW27" s="223"/>
      <c r="CY27" s="224">
        <v>600</v>
      </c>
      <c r="CZ27" s="225">
        <v>2.0150000000000001</v>
      </c>
      <c r="DA27" s="226">
        <f t="shared" si="32"/>
        <v>0</v>
      </c>
      <c r="DB27" s="223"/>
      <c r="DC27" s="232"/>
      <c r="DD27" s="230">
        <v>600</v>
      </c>
      <c r="DE27" s="231">
        <v>14.55</v>
      </c>
      <c r="DF27" s="229">
        <f t="shared" si="33"/>
        <v>0</v>
      </c>
      <c r="DG27" s="223"/>
      <c r="DH27" s="125"/>
      <c r="DI27" s="230">
        <v>600</v>
      </c>
      <c r="DJ27" s="233">
        <v>1.075</v>
      </c>
      <c r="DK27" s="226">
        <f t="shared" si="34"/>
        <v>0</v>
      </c>
      <c r="DL27" s="223"/>
      <c r="DN27" s="154">
        <v>600</v>
      </c>
      <c r="DO27" s="219">
        <v>1.087</v>
      </c>
      <c r="DP27" s="226">
        <f t="shared" si="35"/>
        <v>0</v>
      </c>
      <c r="DQ27" s="223"/>
      <c r="DS27" s="224">
        <v>600</v>
      </c>
      <c r="DT27" s="225">
        <v>2.0150000000000001</v>
      </c>
      <c r="DU27" s="226">
        <f t="shared" si="36"/>
        <v>0</v>
      </c>
      <c r="DV27" s="223"/>
      <c r="DW27" s="232"/>
      <c r="DX27" s="230">
        <v>600</v>
      </c>
      <c r="DY27" s="231">
        <v>14.55</v>
      </c>
      <c r="DZ27" s="229">
        <f t="shared" si="37"/>
        <v>0</v>
      </c>
      <c r="EA27" s="223"/>
      <c r="EB27" s="125"/>
      <c r="EC27" s="230">
        <v>600</v>
      </c>
      <c r="ED27" s="233">
        <v>1.075</v>
      </c>
      <c r="EE27" s="226">
        <f t="shared" si="38"/>
        <v>0</v>
      </c>
      <c r="EF27" s="223"/>
      <c r="EH27" s="154">
        <v>600</v>
      </c>
      <c r="EI27" s="219">
        <v>1.087</v>
      </c>
      <c r="EJ27" s="226">
        <f t="shared" si="39"/>
        <v>0</v>
      </c>
      <c r="EK27" s="223"/>
      <c r="EM27" s="230">
        <v>600</v>
      </c>
      <c r="EN27" s="233">
        <v>1.075</v>
      </c>
      <c r="EO27" s="226">
        <f t="shared" si="40"/>
        <v>0</v>
      </c>
      <c r="EP27" s="223"/>
      <c r="EQ27" s="232"/>
      <c r="ER27" s="224"/>
      <c r="ES27" s="224"/>
      <c r="ET27" s="389"/>
      <c r="EU27" s="5"/>
      <c r="EV27" s="125"/>
      <c r="EW27" s="230">
        <v>600</v>
      </c>
      <c r="EX27" s="233">
        <v>1.075</v>
      </c>
      <c r="EY27" s="226">
        <f t="shared" si="41"/>
        <v>0</v>
      </c>
      <c r="EZ27" s="223"/>
      <c r="FA27" s="232"/>
      <c r="FB27" s="224"/>
      <c r="FC27" s="224"/>
      <c r="FD27" s="389"/>
      <c r="FE27" s="5"/>
      <c r="FG27" s="224">
        <v>600</v>
      </c>
      <c r="FH27" s="225">
        <v>2.0150000000000001</v>
      </c>
      <c r="FI27" s="226">
        <f t="shared" si="42"/>
        <v>0</v>
      </c>
      <c r="FJ27" s="223"/>
      <c r="FK27" s="232"/>
      <c r="FL27" s="230">
        <v>600</v>
      </c>
      <c r="FM27" s="231">
        <v>14.55</v>
      </c>
      <c r="FN27" s="229">
        <f t="shared" si="43"/>
        <v>0</v>
      </c>
      <c r="FO27" s="223"/>
      <c r="FP27" s="125"/>
      <c r="FQ27" s="230">
        <v>600</v>
      </c>
      <c r="FR27" s="233">
        <v>1.075</v>
      </c>
      <c r="FS27" s="226">
        <f t="shared" si="44"/>
        <v>0</v>
      </c>
      <c r="FT27" s="223"/>
      <c r="FV27" s="154">
        <v>600</v>
      </c>
      <c r="FW27" s="219">
        <v>1.087</v>
      </c>
      <c r="FX27" s="226">
        <f t="shared" si="45"/>
        <v>0</v>
      </c>
      <c r="FY27" s="223"/>
      <c r="GA27" s="224">
        <v>600</v>
      </c>
      <c r="GB27" s="225">
        <v>2.0150000000000001</v>
      </c>
      <c r="GC27" s="226">
        <f t="shared" si="46"/>
        <v>0</v>
      </c>
      <c r="GD27" s="223"/>
      <c r="GE27" s="232"/>
      <c r="GF27" s="230">
        <v>600</v>
      </c>
      <c r="GG27" s="231">
        <v>14.55</v>
      </c>
      <c r="GH27" s="229">
        <f t="shared" si="47"/>
        <v>0</v>
      </c>
      <c r="GI27" s="223"/>
      <c r="GJ27" s="125"/>
      <c r="GK27" s="230">
        <v>600</v>
      </c>
      <c r="GL27" s="233">
        <v>1.075</v>
      </c>
      <c r="GM27" s="226">
        <f t="shared" si="48"/>
        <v>0</v>
      </c>
      <c r="GN27" s="223"/>
      <c r="GP27" s="154">
        <v>600</v>
      </c>
      <c r="GQ27" s="219">
        <v>1.087</v>
      </c>
      <c r="GR27" s="226">
        <f t="shared" si="49"/>
        <v>0</v>
      </c>
      <c r="GS27" s="223"/>
      <c r="GU27" s="224">
        <v>600</v>
      </c>
      <c r="GV27" s="225">
        <v>2.0150000000000001</v>
      </c>
      <c r="GW27" s="226">
        <f t="shared" si="50"/>
        <v>0</v>
      </c>
      <c r="GX27" s="223"/>
      <c r="GY27" s="232"/>
      <c r="GZ27" s="230">
        <v>600</v>
      </c>
      <c r="HA27" s="231">
        <v>14.55</v>
      </c>
      <c r="HB27" s="229">
        <f t="shared" si="51"/>
        <v>0</v>
      </c>
      <c r="HC27" s="223"/>
      <c r="HD27" s="125"/>
      <c r="HE27" s="230">
        <v>600</v>
      </c>
      <c r="HF27" s="233">
        <v>1.075</v>
      </c>
      <c r="HG27" s="226">
        <f t="shared" si="52"/>
        <v>0</v>
      </c>
      <c r="HH27" s="223"/>
      <c r="HI27" s="5"/>
      <c r="HJ27" s="154">
        <v>650</v>
      </c>
      <c r="HK27" s="219">
        <v>3.4319999999999999</v>
      </c>
      <c r="HL27" s="226">
        <f t="shared" si="53"/>
        <v>0</v>
      </c>
      <c r="HM27" s="223"/>
      <c r="HO27" s="224">
        <v>600</v>
      </c>
      <c r="HP27" s="225">
        <v>2.0150000000000001</v>
      </c>
      <c r="HQ27" s="226">
        <f t="shared" si="54"/>
        <v>0</v>
      </c>
      <c r="HR27" s="223"/>
      <c r="HS27" s="232"/>
      <c r="HT27" s="230">
        <v>600</v>
      </c>
      <c r="HU27" s="231">
        <v>14.55</v>
      </c>
      <c r="HV27" s="229">
        <f t="shared" si="55"/>
        <v>0</v>
      </c>
      <c r="HW27" s="223"/>
      <c r="HX27" s="125"/>
      <c r="HY27" s="230">
        <v>600</v>
      </c>
      <c r="HZ27" s="233">
        <v>1.075</v>
      </c>
      <c r="IA27" s="226">
        <f t="shared" si="56"/>
        <v>0</v>
      </c>
      <c r="IB27" s="223"/>
      <c r="IC27" s="5"/>
      <c r="ID27" s="154">
        <v>650</v>
      </c>
      <c r="IE27" s="219">
        <v>3.4319999999999999</v>
      </c>
      <c r="IF27" s="226">
        <f t="shared" si="57"/>
        <v>0</v>
      </c>
      <c r="IG27" s="223"/>
      <c r="II27" s="224">
        <v>600</v>
      </c>
      <c r="IJ27" s="225">
        <v>2.0150000000000001</v>
      </c>
      <c r="IK27" s="226">
        <f t="shared" si="58"/>
        <v>0</v>
      </c>
      <c r="IL27" s="223"/>
      <c r="IM27" s="232"/>
      <c r="IN27" s="230">
        <v>600</v>
      </c>
      <c r="IO27" s="231">
        <v>14.55</v>
      </c>
      <c r="IP27" s="229">
        <f t="shared" si="59"/>
        <v>0</v>
      </c>
      <c r="IQ27" s="223"/>
      <c r="IR27" s="125"/>
      <c r="IS27" s="230">
        <v>600</v>
      </c>
      <c r="IT27" s="233">
        <v>1.075</v>
      </c>
      <c r="IU27" s="226">
        <f t="shared" si="60"/>
        <v>0</v>
      </c>
      <c r="IV27" s="223"/>
      <c r="IW27" s="5"/>
      <c r="IX27" s="154">
        <v>650</v>
      </c>
      <c r="IY27" s="219">
        <v>3.4319999999999999</v>
      </c>
      <c r="IZ27" s="226">
        <f t="shared" si="61"/>
        <v>0</v>
      </c>
      <c r="JA27" s="223"/>
      <c r="JC27" s="224">
        <v>600</v>
      </c>
      <c r="JD27" s="225">
        <v>2.0150000000000001</v>
      </c>
      <c r="JE27" s="226">
        <f t="shared" si="62"/>
        <v>0</v>
      </c>
      <c r="JF27" s="223"/>
      <c r="JG27" s="232"/>
      <c r="JH27" s="230">
        <v>600</v>
      </c>
      <c r="JI27" s="231">
        <v>14.55</v>
      </c>
      <c r="JJ27" s="229">
        <f t="shared" si="63"/>
        <v>0</v>
      </c>
      <c r="JK27" s="223"/>
      <c r="JL27" s="125"/>
      <c r="JM27" s="230">
        <v>600</v>
      </c>
      <c r="JN27" s="233">
        <v>1.075</v>
      </c>
      <c r="JO27" s="226">
        <f t="shared" si="64"/>
        <v>0</v>
      </c>
      <c r="JP27" s="223"/>
      <c r="JQ27" s="5"/>
      <c r="JR27" s="154">
        <v>650</v>
      </c>
      <c r="JS27" s="219">
        <v>3.4319999999999999</v>
      </c>
      <c r="JT27" s="226">
        <f t="shared" si="65"/>
        <v>0</v>
      </c>
      <c r="JU27" s="223"/>
      <c r="JW27" s="224">
        <v>600</v>
      </c>
      <c r="JX27" s="225">
        <v>2.0150000000000001</v>
      </c>
      <c r="JY27" s="226">
        <f t="shared" si="0"/>
        <v>0</v>
      </c>
      <c r="JZ27" s="223"/>
      <c r="KA27" s="232"/>
      <c r="KB27" s="230">
        <v>600</v>
      </c>
      <c r="KC27" s="231">
        <v>14.55</v>
      </c>
      <c r="KD27" s="229">
        <f t="shared" si="1"/>
        <v>0</v>
      </c>
      <c r="KE27" s="223"/>
      <c r="KF27" s="125"/>
      <c r="KG27" s="230">
        <v>600</v>
      </c>
      <c r="KH27" s="233">
        <v>1.075</v>
      </c>
      <c r="KI27" s="226">
        <f t="shared" si="2"/>
        <v>0</v>
      </c>
      <c r="KJ27" s="223"/>
      <c r="KK27" s="5"/>
      <c r="KL27" s="154">
        <v>650</v>
      </c>
      <c r="KM27" s="219">
        <v>3.4319999999999999</v>
      </c>
      <c r="KN27" s="226">
        <f t="shared" si="3"/>
        <v>0</v>
      </c>
      <c r="KO27" s="223"/>
      <c r="KQ27" s="224">
        <v>600</v>
      </c>
      <c r="KR27" s="225">
        <v>2.0150000000000001</v>
      </c>
      <c r="KS27" s="226">
        <f t="shared" si="4"/>
        <v>0</v>
      </c>
      <c r="KT27" s="223"/>
      <c r="KU27" s="232"/>
      <c r="KV27" s="230">
        <v>600</v>
      </c>
      <c r="KW27" s="231">
        <v>14.55</v>
      </c>
      <c r="KX27" s="229">
        <f t="shared" si="5"/>
        <v>0</v>
      </c>
      <c r="KY27" s="223"/>
      <c r="KZ27" s="125"/>
      <c r="LA27" s="230">
        <v>600</v>
      </c>
      <c r="LB27" s="233">
        <v>1.075</v>
      </c>
      <c r="LC27" s="226">
        <f t="shared" si="6"/>
        <v>0</v>
      </c>
      <c r="LD27" s="223"/>
      <c r="LE27" s="5"/>
      <c r="LF27" s="154">
        <v>650</v>
      </c>
      <c r="LG27" s="219">
        <v>3.4319999999999999</v>
      </c>
      <c r="LH27" s="226">
        <f t="shared" si="7"/>
        <v>0</v>
      </c>
      <c r="LI27" s="223"/>
      <c r="LK27" s="224">
        <v>600</v>
      </c>
      <c r="LL27" s="225">
        <v>2.0150000000000001</v>
      </c>
      <c r="LM27" s="226" t="e">
        <f t="shared" si="8"/>
        <v>#REF!</v>
      </c>
      <c r="LN27" s="223"/>
      <c r="LO27" s="232"/>
      <c r="LP27" s="230">
        <v>600</v>
      </c>
      <c r="LQ27" s="231">
        <v>14.55</v>
      </c>
      <c r="LR27" s="229" t="e">
        <f t="shared" si="9"/>
        <v>#REF!</v>
      </c>
      <c r="LS27" s="223"/>
      <c r="LT27" s="125"/>
      <c r="LU27" s="230">
        <v>600</v>
      </c>
      <c r="LV27" s="233">
        <v>1.075</v>
      </c>
      <c r="LW27" s="226" t="e">
        <f t="shared" si="10"/>
        <v>#REF!</v>
      </c>
      <c r="LX27" s="223"/>
      <c r="LY27" s="5"/>
      <c r="LZ27" s="154">
        <v>650</v>
      </c>
      <c r="MA27" s="219">
        <v>3.4319999999999999</v>
      </c>
      <c r="MB27" s="226" t="e">
        <f t="shared" si="11"/>
        <v>#REF!</v>
      </c>
      <c r="MC27" s="223"/>
    </row>
    <row r="28" spans="2:341" ht="16" thickBot="1" x14ac:dyDescent="0.25">
      <c r="B28" s="232"/>
      <c r="C28" s="224">
        <v>650</v>
      </c>
      <c r="D28" s="225">
        <v>2.0470000000000002</v>
      </c>
      <c r="E28" s="226">
        <f t="shared" si="12"/>
        <v>0</v>
      </c>
      <c r="F28" s="223"/>
      <c r="G28" s="232"/>
      <c r="H28" s="230">
        <v>650</v>
      </c>
      <c r="I28" s="231">
        <v>14.57</v>
      </c>
      <c r="J28" s="229">
        <f t="shared" si="13"/>
        <v>0</v>
      </c>
      <c r="K28" s="223"/>
      <c r="L28" s="125"/>
      <c r="M28" s="230">
        <v>650</v>
      </c>
      <c r="N28" s="233">
        <v>1.1020000000000001</v>
      </c>
      <c r="O28" s="226">
        <f t="shared" si="14"/>
        <v>0</v>
      </c>
      <c r="P28" s="223"/>
      <c r="Q28" s="5"/>
      <c r="R28" s="154">
        <v>700</v>
      </c>
      <c r="S28" s="219">
        <v>3.6019999999999999</v>
      </c>
      <c r="T28" s="226">
        <f t="shared" si="15"/>
        <v>0</v>
      </c>
      <c r="U28" s="223"/>
      <c r="V28" s="237"/>
      <c r="W28" s="224">
        <v>650</v>
      </c>
      <c r="X28" s="225">
        <v>2.0470000000000002</v>
      </c>
      <c r="Y28" s="226">
        <f t="shared" si="16"/>
        <v>0</v>
      </c>
      <c r="Z28" s="223"/>
      <c r="AA28" s="232"/>
      <c r="AB28" s="230">
        <v>650</v>
      </c>
      <c r="AC28" s="231">
        <v>14.57</v>
      </c>
      <c r="AD28" s="229">
        <f t="shared" si="17"/>
        <v>0</v>
      </c>
      <c r="AE28" s="223"/>
      <c r="AF28" s="125"/>
      <c r="AG28" s="230">
        <v>650</v>
      </c>
      <c r="AH28" s="233">
        <v>1.1020000000000001</v>
      </c>
      <c r="AI28" s="226">
        <f t="shared" si="18"/>
        <v>0</v>
      </c>
      <c r="AJ28" s="223"/>
      <c r="AK28" s="5"/>
      <c r="AL28" s="154">
        <v>650</v>
      </c>
      <c r="AM28" s="219">
        <v>1.1000000000000001</v>
      </c>
      <c r="AN28" s="226">
        <f t="shared" si="19"/>
        <v>0</v>
      </c>
      <c r="AO28" s="223"/>
      <c r="AQ28" s="224">
        <v>650</v>
      </c>
      <c r="AR28" s="225">
        <v>2.0470000000000002</v>
      </c>
      <c r="AS28" s="226">
        <f t="shared" si="20"/>
        <v>0</v>
      </c>
      <c r="AT28" s="223"/>
      <c r="AU28" s="232"/>
      <c r="AV28" s="230">
        <v>650</v>
      </c>
      <c r="AW28" s="231">
        <v>14.57</v>
      </c>
      <c r="AX28" s="229">
        <f t="shared" si="21"/>
        <v>0</v>
      </c>
      <c r="AY28" s="223"/>
      <c r="AZ28" s="125"/>
      <c r="BA28" s="230">
        <v>650</v>
      </c>
      <c r="BB28" s="233">
        <v>1.1020000000000001</v>
      </c>
      <c r="BC28" s="226">
        <f t="shared" si="22"/>
        <v>0</v>
      </c>
      <c r="BD28" s="223"/>
      <c r="BE28" s="5"/>
      <c r="BF28" s="154">
        <v>700</v>
      </c>
      <c r="BG28" s="219">
        <v>3.6019999999999999</v>
      </c>
      <c r="BH28" s="226">
        <f t="shared" si="23"/>
        <v>0</v>
      </c>
      <c r="BI28" s="223"/>
      <c r="BK28" s="224">
        <v>650</v>
      </c>
      <c r="BL28" s="225">
        <v>2.0470000000000002</v>
      </c>
      <c r="BM28" s="226">
        <f t="shared" si="24"/>
        <v>0</v>
      </c>
      <c r="BN28" s="223"/>
      <c r="BO28" s="232"/>
      <c r="BP28" s="230">
        <v>650</v>
      </c>
      <c r="BQ28" s="231">
        <v>14.57</v>
      </c>
      <c r="BR28" s="229">
        <f t="shared" si="25"/>
        <v>0</v>
      </c>
      <c r="BS28" s="223"/>
      <c r="BT28" s="125"/>
      <c r="BU28" s="230">
        <v>650</v>
      </c>
      <c r="BV28" s="233">
        <v>1.1020000000000001</v>
      </c>
      <c r="BW28" s="226">
        <f t="shared" si="26"/>
        <v>0</v>
      </c>
      <c r="BX28" s="223"/>
      <c r="BY28" s="5"/>
      <c r="BZ28" s="154">
        <v>650</v>
      </c>
      <c r="CA28" s="219">
        <v>1.1000000000000001</v>
      </c>
      <c r="CB28" s="226">
        <f t="shared" si="27"/>
        <v>0</v>
      </c>
      <c r="CC28" s="223"/>
      <c r="CE28" s="224">
        <v>650</v>
      </c>
      <c r="CF28" s="225">
        <v>2.0470000000000002</v>
      </c>
      <c r="CG28" s="226">
        <f t="shared" si="28"/>
        <v>0</v>
      </c>
      <c r="CH28" s="223"/>
      <c r="CI28" s="232"/>
      <c r="CJ28" s="230">
        <v>650</v>
      </c>
      <c r="CK28" s="231">
        <v>14.57</v>
      </c>
      <c r="CL28" s="229">
        <f t="shared" si="29"/>
        <v>0</v>
      </c>
      <c r="CM28" s="223"/>
      <c r="CN28" s="125"/>
      <c r="CO28" s="230">
        <v>650</v>
      </c>
      <c r="CP28" s="233">
        <v>1.1020000000000001</v>
      </c>
      <c r="CQ28" s="226">
        <f t="shared" si="30"/>
        <v>0</v>
      </c>
      <c r="CR28" s="223"/>
      <c r="CT28" s="154">
        <v>650</v>
      </c>
      <c r="CU28" s="219">
        <v>1.1000000000000001</v>
      </c>
      <c r="CV28" s="226">
        <f t="shared" si="31"/>
        <v>0</v>
      </c>
      <c r="CW28" s="223"/>
      <c r="CY28" s="224">
        <v>650</v>
      </c>
      <c r="CZ28" s="225">
        <v>2.0470000000000002</v>
      </c>
      <c r="DA28" s="226">
        <f t="shared" si="32"/>
        <v>0</v>
      </c>
      <c r="DB28" s="223"/>
      <c r="DC28" s="232"/>
      <c r="DD28" s="230">
        <v>650</v>
      </c>
      <c r="DE28" s="231">
        <v>14.57</v>
      </c>
      <c r="DF28" s="229">
        <f t="shared" si="33"/>
        <v>0</v>
      </c>
      <c r="DG28" s="223"/>
      <c r="DH28" s="125"/>
      <c r="DI28" s="230">
        <v>650</v>
      </c>
      <c r="DJ28" s="233">
        <v>1.1020000000000001</v>
      </c>
      <c r="DK28" s="226">
        <f t="shared" si="34"/>
        <v>0</v>
      </c>
      <c r="DL28" s="223"/>
      <c r="DN28" s="154">
        <v>650</v>
      </c>
      <c r="DO28" s="219">
        <v>1.1000000000000001</v>
      </c>
      <c r="DP28" s="226">
        <f t="shared" si="35"/>
        <v>0</v>
      </c>
      <c r="DQ28" s="223"/>
      <c r="DS28" s="224">
        <v>650</v>
      </c>
      <c r="DT28" s="225">
        <v>2.0470000000000002</v>
      </c>
      <c r="DU28" s="226">
        <f t="shared" si="36"/>
        <v>0</v>
      </c>
      <c r="DV28" s="223"/>
      <c r="DW28" s="232"/>
      <c r="DX28" s="230">
        <v>650</v>
      </c>
      <c r="DY28" s="231">
        <v>14.57</v>
      </c>
      <c r="DZ28" s="229">
        <f t="shared" si="37"/>
        <v>0</v>
      </c>
      <c r="EA28" s="223"/>
      <c r="EB28" s="125"/>
      <c r="EC28" s="230">
        <v>650</v>
      </c>
      <c r="ED28" s="233">
        <v>1.1020000000000001</v>
      </c>
      <c r="EE28" s="226">
        <f t="shared" si="38"/>
        <v>0</v>
      </c>
      <c r="EF28" s="223"/>
      <c r="EH28" s="154">
        <v>650</v>
      </c>
      <c r="EI28" s="219">
        <v>1.1000000000000001</v>
      </c>
      <c r="EJ28" s="226">
        <f t="shared" si="39"/>
        <v>0</v>
      </c>
      <c r="EK28" s="223"/>
      <c r="EM28" s="230">
        <v>650</v>
      </c>
      <c r="EN28" s="233">
        <v>1.1020000000000001</v>
      </c>
      <c r="EO28" s="226">
        <f t="shared" si="40"/>
        <v>0</v>
      </c>
      <c r="EP28" s="223"/>
      <c r="EQ28" s="232"/>
      <c r="ER28" s="224"/>
      <c r="ES28" s="224"/>
      <c r="ET28" s="389"/>
      <c r="EU28" s="5"/>
      <c r="EV28" s="125"/>
      <c r="EW28" s="230">
        <v>650</v>
      </c>
      <c r="EX28" s="233">
        <v>1.1020000000000001</v>
      </c>
      <c r="EY28" s="226">
        <f t="shared" si="41"/>
        <v>0</v>
      </c>
      <c r="EZ28" s="223"/>
      <c r="FA28" s="232"/>
      <c r="FB28" s="224"/>
      <c r="FC28" s="224"/>
      <c r="FD28" s="389"/>
      <c r="FE28" s="5"/>
      <c r="FG28" s="224">
        <v>650</v>
      </c>
      <c r="FH28" s="225">
        <v>2.0470000000000002</v>
      </c>
      <c r="FI28" s="226">
        <f t="shared" si="42"/>
        <v>0</v>
      </c>
      <c r="FJ28" s="223"/>
      <c r="FK28" s="232"/>
      <c r="FL28" s="230">
        <v>650</v>
      </c>
      <c r="FM28" s="231">
        <v>14.57</v>
      </c>
      <c r="FN28" s="229">
        <f t="shared" si="43"/>
        <v>0</v>
      </c>
      <c r="FO28" s="223"/>
      <c r="FP28" s="125"/>
      <c r="FQ28" s="230">
        <v>650</v>
      </c>
      <c r="FR28" s="233">
        <v>1.1020000000000001</v>
      </c>
      <c r="FS28" s="226">
        <f t="shared" si="44"/>
        <v>0</v>
      </c>
      <c r="FT28" s="223"/>
      <c r="FV28" s="154">
        <v>650</v>
      </c>
      <c r="FW28" s="219">
        <v>1.1000000000000001</v>
      </c>
      <c r="FX28" s="226">
        <f t="shared" si="45"/>
        <v>0</v>
      </c>
      <c r="FY28" s="223"/>
      <c r="GA28" s="224">
        <v>650</v>
      </c>
      <c r="GB28" s="225">
        <v>2.0470000000000002</v>
      </c>
      <c r="GC28" s="226">
        <f t="shared" si="46"/>
        <v>0</v>
      </c>
      <c r="GD28" s="223"/>
      <c r="GE28" s="232"/>
      <c r="GF28" s="230">
        <v>650</v>
      </c>
      <c r="GG28" s="231">
        <v>14.57</v>
      </c>
      <c r="GH28" s="229">
        <f t="shared" si="47"/>
        <v>0</v>
      </c>
      <c r="GI28" s="223"/>
      <c r="GJ28" s="125"/>
      <c r="GK28" s="230">
        <v>650</v>
      </c>
      <c r="GL28" s="233">
        <v>1.1020000000000001</v>
      </c>
      <c r="GM28" s="226">
        <f t="shared" si="48"/>
        <v>0</v>
      </c>
      <c r="GN28" s="223"/>
      <c r="GP28" s="154">
        <v>650</v>
      </c>
      <c r="GQ28" s="219">
        <v>1.1000000000000001</v>
      </c>
      <c r="GR28" s="226">
        <f t="shared" si="49"/>
        <v>0</v>
      </c>
      <c r="GS28" s="223"/>
      <c r="GU28" s="224">
        <v>650</v>
      </c>
      <c r="GV28" s="225">
        <v>2.0470000000000002</v>
      </c>
      <c r="GW28" s="226">
        <f t="shared" si="50"/>
        <v>0</v>
      </c>
      <c r="GX28" s="223"/>
      <c r="GY28" s="232"/>
      <c r="GZ28" s="230">
        <v>650</v>
      </c>
      <c r="HA28" s="231">
        <v>14.57</v>
      </c>
      <c r="HB28" s="229">
        <f t="shared" si="51"/>
        <v>0</v>
      </c>
      <c r="HC28" s="223"/>
      <c r="HD28" s="125"/>
      <c r="HE28" s="230">
        <v>650</v>
      </c>
      <c r="HF28" s="233">
        <v>1.1020000000000001</v>
      </c>
      <c r="HG28" s="226">
        <f t="shared" si="52"/>
        <v>0</v>
      </c>
      <c r="HH28" s="223"/>
      <c r="HI28" s="5"/>
      <c r="HJ28" s="154">
        <v>700</v>
      </c>
      <c r="HK28" s="219">
        <v>3.6019999999999999</v>
      </c>
      <c r="HL28" s="226">
        <f t="shared" si="53"/>
        <v>0</v>
      </c>
      <c r="HM28" s="223"/>
      <c r="HO28" s="224">
        <v>650</v>
      </c>
      <c r="HP28" s="225">
        <v>2.0470000000000002</v>
      </c>
      <c r="HQ28" s="226">
        <f t="shared" si="54"/>
        <v>0</v>
      </c>
      <c r="HR28" s="223"/>
      <c r="HS28" s="232"/>
      <c r="HT28" s="230">
        <v>650</v>
      </c>
      <c r="HU28" s="231">
        <v>14.57</v>
      </c>
      <c r="HV28" s="229">
        <f t="shared" si="55"/>
        <v>0</v>
      </c>
      <c r="HW28" s="223"/>
      <c r="HX28" s="125"/>
      <c r="HY28" s="230">
        <v>650</v>
      </c>
      <c r="HZ28" s="233">
        <v>1.1020000000000001</v>
      </c>
      <c r="IA28" s="226">
        <f t="shared" si="56"/>
        <v>0</v>
      </c>
      <c r="IB28" s="223"/>
      <c r="IC28" s="5"/>
      <c r="ID28" s="154">
        <v>700</v>
      </c>
      <c r="IE28" s="219">
        <v>3.6019999999999999</v>
      </c>
      <c r="IF28" s="226">
        <f t="shared" si="57"/>
        <v>0</v>
      </c>
      <c r="IG28" s="223"/>
      <c r="II28" s="224">
        <v>650</v>
      </c>
      <c r="IJ28" s="225">
        <v>2.0470000000000002</v>
      </c>
      <c r="IK28" s="226">
        <f t="shared" si="58"/>
        <v>0</v>
      </c>
      <c r="IL28" s="223"/>
      <c r="IM28" s="232"/>
      <c r="IN28" s="230">
        <v>650</v>
      </c>
      <c r="IO28" s="231">
        <v>14.57</v>
      </c>
      <c r="IP28" s="229">
        <f t="shared" si="59"/>
        <v>0</v>
      </c>
      <c r="IQ28" s="223"/>
      <c r="IR28" s="125"/>
      <c r="IS28" s="230">
        <v>650</v>
      </c>
      <c r="IT28" s="233">
        <v>1.1020000000000001</v>
      </c>
      <c r="IU28" s="226">
        <f t="shared" si="60"/>
        <v>0</v>
      </c>
      <c r="IV28" s="223"/>
      <c r="IW28" s="5"/>
      <c r="IX28" s="154">
        <v>700</v>
      </c>
      <c r="IY28" s="219">
        <v>3.6019999999999999</v>
      </c>
      <c r="IZ28" s="226">
        <f t="shared" si="61"/>
        <v>0</v>
      </c>
      <c r="JA28" s="223"/>
      <c r="JC28" s="224">
        <v>650</v>
      </c>
      <c r="JD28" s="225">
        <v>2.0470000000000002</v>
      </c>
      <c r="JE28" s="226">
        <f t="shared" si="62"/>
        <v>0</v>
      </c>
      <c r="JF28" s="223"/>
      <c r="JG28" s="232"/>
      <c r="JH28" s="230">
        <v>650</v>
      </c>
      <c r="JI28" s="231">
        <v>14.57</v>
      </c>
      <c r="JJ28" s="229">
        <f t="shared" si="63"/>
        <v>0</v>
      </c>
      <c r="JK28" s="223"/>
      <c r="JL28" s="125"/>
      <c r="JM28" s="230">
        <v>650</v>
      </c>
      <c r="JN28" s="233">
        <v>1.1020000000000001</v>
      </c>
      <c r="JO28" s="226">
        <f t="shared" si="64"/>
        <v>0</v>
      </c>
      <c r="JP28" s="223"/>
      <c r="JQ28" s="5"/>
      <c r="JR28" s="154">
        <v>700</v>
      </c>
      <c r="JS28" s="219">
        <v>3.6019999999999999</v>
      </c>
      <c r="JT28" s="226">
        <f t="shared" si="65"/>
        <v>0</v>
      </c>
      <c r="JU28" s="223"/>
      <c r="JW28" s="224">
        <v>650</v>
      </c>
      <c r="JX28" s="225">
        <v>2.0470000000000002</v>
      </c>
      <c r="JY28" s="226">
        <f t="shared" si="0"/>
        <v>0</v>
      </c>
      <c r="JZ28" s="223"/>
      <c r="KA28" s="232"/>
      <c r="KB28" s="230">
        <v>650</v>
      </c>
      <c r="KC28" s="231">
        <v>14.57</v>
      </c>
      <c r="KD28" s="229">
        <f t="shared" si="1"/>
        <v>0</v>
      </c>
      <c r="KE28" s="223"/>
      <c r="KF28" s="125"/>
      <c r="KG28" s="230">
        <v>650</v>
      </c>
      <c r="KH28" s="233">
        <v>1.1020000000000001</v>
      </c>
      <c r="KI28" s="226">
        <f t="shared" si="2"/>
        <v>0</v>
      </c>
      <c r="KJ28" s="223"/>
      <c r="KK28" s="5"/>
      <c r="KL28" s="154">
        <v>700</v>
      </c>
      <c r="KM28" s="219">
        <v>3.6019999999999999</v>
      </c>
      <c r="KN28" s="226">
        <f t="shared" si="3"/>
        <v>0</v>
      </c>
      <c r="KO28" s="223"/>
      <c r="KQ28" s="224">
        <v>650</v>
      </c>
      <c r="KR28" s="225">
        <v>2.0470000000000002</v>
      </c>
      <c r="KS28" s="226">
        <f t="shared" si="4"/>
        <v>0</v>
      </c>
      <c r="KT28" s="223"/>
      <c r="KU28" s="232"/>
      <c r="KV28" s="230">
        <v>650</v>
      </c>
      <c r="KW28" s="231">
        <v>14.57</v>
      </c>
      <c r="KX28" s="229">
        <f t="shared" si="5"/>
        <v>0</v>
      </c>
      <c r="KY28" s="223"/>
      <c r="KZ28" s="125"/>
      <c r="LA28" s="230">
        <v>650</v>
      </c>
      <c r="LB28" s="233">
        <v>1.1020000000000001</v>
      </c>
      <c r="LC28" s="226">
        <f t="shared" si="6"/>
        <v>0</v>
      </c>
      <c r="LD28" s="223"/>
      <c r="LE28" s="5"/>
      <c r="LF28" s="154">
        <v>700</v>
      </c>
      <c r="LG28" s="219">
        <v>3.6019999999999999</v>
      </c>
      <c r="LH28" s="226">
        <f t="shared" si="7"/>
        <v>3.65448</v>
      </c>
      <c r="LI28" s="223"/>
      <c r="LK28" s="224">
        <v>650</v>
      </c>
      <c r="LL28" s="225">
        <v>2.0470000000000002</v>
      </c>
      <c r="LM28" s="226" t="e">
        <f t="shared" si="8"/>
        <v>#REF!</v>
      </c>
      <c r="LN28" s="223"/>
      <c r="LO28" s="232"/>
      <c r="LP28" s="230">
        <v>650</v>
      </c>
      <c r="LQ28" s="231">
        <v>14.57</v>
      </c>
      <c r="LR28" s="229" t="e">
        <f t="shared" si="9"/>
        <v>#REF!</v>
      </c>
      <c r="LS28" s="223"/>
      <c r="LT28" s="125"/>
      <c r="LU28" s="230">
        <v>650</v>
      </c>
      <c r="LV28" s="233">
        <v>1.1020000000000001</v>
      </c>
      <c r="LW28" s="226" t="e">
        <f t="shared" si="10"/>
        <v>#REF!</v>
      </c>
      <c r="LX28" s="223"/>
      <c r="LY28" s="5"/>
      <c r="LZ28" s="154">
        <v>700</v>
      </c>
      <c r="MA28" s="219">
        <v>3.6019999999999999</v>
      </c>
      <c r="MB28" s="226" t="e">
        <f t="shared" si="11"/>
        <v>#REF!</v>
      </c>
      <c r="MC28" s="223"/>
    </row>
    <row r="29" spans="2:341" ht="16" thickBot="1" x14ac:dyDescent="0.25">
      <c r="B29" s="232"/>
      <c r="C29" s="224">
        <v>700</v>
      </c>
      <c r="D29" s="225">
        <v>2.08</v>
      </c>
      <c r="E29" s="226">
        <f t="shared" si="12"/>
        <v>0</v>
      </c>
      <c r="F29" s="223"/>
      <c r="G29" s="232"/>
      <c r="H29" s="230">
        <v>700</v>
      </c>
      <c r="I29" s="231">
        <v>14.6</v>
      </c>
      <c r="J29" s="229">
        <f t="shared" si="13"/>
        <v>0</v>
      </c>
      <c r="K29" s="223"/>
      <c r="L29" s="125"/>
      <c r="M29" s="230">
        <v>700</v>
      </c>
      <c r="N29" s="233">
        <v>1.1259999999999999</v>
      </c>
      <c r="O29" s="226">
        <f t="shared" si="14"/>
        <v>0</v>
      </c>
      <c r="P29" s="223"/>
      <c r="Q29" s="5"/>
      <c r="R29" s="154">
        <v>750</v>
      </c>
      <c r="S29" s="219">
        <v>3.766</v>
      </c>
      <c r="T29" s="226">
        <f t="shared" si="15"/>
        <v>0</v>
      </c>
      <c r="U29" s="223"/>
      <c r="V29" s="237"/>
      <c r="W29" s="224">
        <v>700</v>
      </c>
      <c r="X29" s="225">
        <v>2.08</v>
      </c>
      <c r="Y29" s="226">
        <f t="shared" si="16"/>
        <v>0</v>
      </c>
      <c r="Z29" s="223"/>
      <c r="AA29" s="232"/>
      <c r="AB29" s="230">
        <v>700</v>
      </c>
      <c r="AC29" s="231">
        <v>14.6</v>
      </c>
      <c r="AD29" s="229">
        <f t="shared" si="17"/>
        <v>0</v>
      </c>
      <c r="AE29" s="223"/>
      <c r="AF29" s="125"/>
      <c r="AG29" s="230">
        <v>700</v>
      </c>
      <c r="AH29" s="233">
        <v>1.1259999999999999</v>
      </c>
      <c r="AI29" s="226">
        <f t="shared" si="18"/>
        <v>0</v>
      </c>
      <c r="AJ29" s="223"/>
      <c r="AK29" s="5"/>
      <c r="AL29" s="154">
        <v>700</v>
      </c>
      <c r="AM29" s="219">
        <v>1.113</v>
      </c>
      <c r="AN29" s="226">
        <f t="shared" si="19"/>
        <v>0</v>
      </c>
      <c r="AO29" s="223"/>
      <c r="AQ29" s="224">
        <v>700</v>
      </c>
      <c r="AR29" s="225">
        <v>2.08</v>
      </c>
      <c r="AS29" s="226">
        <f t="shared" si="20"/>
        <v>0</v>
      </c>
      <c r="AT29" s="223"/>
      <c r="AU29" s="232"/>
      <c r="AV29" s="230">
        <v>700</v>
      </c>
      <c r="AW29" s="231">
        <v>14.6</v>
      </c>
      <c r="AX29" s="229">
        <f t="shared" si="21"/>
        <v>0</v>
      </c>
      <c r="AY29" s="223"/>
      <c r="AZ29" s="125"/>
      <c r="BA29" s="230">
        <v>700</v>
      </c>
      <c r="BB29" s="233">
        <v>1.1259999999999999</v>
      </c>
      <c r="BC29" s="226">
        <f t="shared" si="22"/>
        <v>0</v>
      </c>
      <c r="BD29" s="223"/>
      <c r="BE29" s="5"/>
      <c r="BF29" s="154">
        <v>750</v>
      </c>
      <c r="BG29" s="219">
        <v>3.766</v>
      </c>
      <c r="BH29" s="226">
        <f t="shared" si="23"/>
        <v>0</v>
      </c>
      <c r="BI29" s="223"/>
      <c r="BK29" s="224">
        <v>700</v>
      </c>
      <c r="BL29" s="225">
        <v>2.08</v>
      </c>
      <c r="BM29" s="226">
        <f t="shared" si="24"/>
        <v>0</v>
      </c>
      <c r="BN29" s="223"/>
      <c r="BO29" s="232"/>
      <c r="BP29" s="230">
        <v>700</v>
      </c>
      <c r="BQ29" s="231">
        <v>14.6</v>
      </c>
      <c r="BR29" s="229">
        <f t="shared" si="25"/>
        <v>0</v>
      </c>
      <c r="BS29" s="223"/>
      <c r="BT29" s="125"/>
      <c r="BU29" s="230">
        <v>700</v>
      </c>
      <c r="BV29" s="233">
        <v>1.1259999999999999</v>
      </c>
      <c r="BW29" s="226">
        <f t="shared" si="26"/>
        <v>0</v>
      </c>
      <c r="BX29" s="223"/>
      <c r="BY29" s="5"/>
      <c r="BZ29" s="154">
        <v>700</v>
      </c>
      <c r="CA29" s="219">
        <v>1.113</v>
      </c>
      <c r="CB29" s="226">
        <f t="shared" si="27"/>
        <v>0</v>
      </c>
      <c r="CC29" s="223"/>
      <c r="CE29" s="224">
        <v>700</v>
      </c>
      <c r="CF29" s="225">
        <v>2.08</v>
      </c>
      <c r="CG29" s="226">
        <f t="shared" si="28"/>
        <v>0</v>
      </c>
      <c r="CH29" s="223"/>
      <c r="CI29" s="232"/>
      <c r="CJ29" s="230">
        <v>700</v>
      </c>
      <c r="CK29" s="231">
        <v>14.6</v>
      </c>
      <c r="CL29" s="229">
        <f t="shared" si="29"/>
        <v>0</v>
      </c>
      <c r="CM29" s="223"/>
      <c r="CN29" s="125"/>
      <c r="CO29" s="230">
        <v>700</v>
      </c>
      <c r="CP29" s="233">
        <v>1.1259999999999999</v>
      </c>
      <c r="CQ29" s="226">
        <f t="shared" si="30"/>
        <v>0</v>
      </c>
      <c r="CR29" s="223"/>
      <c r="CT29" s="154">
        <v>700</v>
      </c>
      <c r="CU29" s="219">
        <v>1.113</v>
      </c>
      <c r="CV29" s="226">
        <f t="shared" si="31"/>
        <v>0</v>
      </c>
      <c r="CW29" s="223"/>
      <c r="CY29" s="224">
        <v>700</v>
      </c>
      <c r="CZ29" s="225">
        <v>2.08</v>
      </c>
      <c r="DA29" s="226">
        <f t="shared" si="32"/>
        <v>0</v>
      </c>
      <c r="DB29" s="223"/>
      <c r="DC29" s="232"/>
      <c r="DD29" s="230">
        <v>700</v>
      </c>
      <c r="DE29" s="231">
        <v>14.6</v>
      </c>
      <c r="DF29" s="229">
        <f t="shared" si="33"/>
        <v>0</v>
      </c>
      <c r="DG29" s="223"/>
      <c r="DH29" s="125"/>
      <c r="DI29" s="230">
        <v>700</v>
      </c>
      <c r="DJ29" s="233">
        <v>1.1259999999999999</v>
      </c>
      <c r="DK29" s="226">
        <f t="shared" si="34"/>
        <v>0</v>
      </c>
      <c r="DL29" s="223"/>
      <c r="DN29" s="154">
        <v>700</v>
      </c>
      <c r="DO29" s="219">
        <v>1.113</v>
      </c>
      <c r="DP29" s="226">
        <f t="shared" si="35"/>
        <v>0</v>
      </c>
      <c r="DQ29" s="223"/>
      <c r="DS29" s="224">
        <v>700</v>
      </c>
      <c r="DT29" s="225">
        <v>2.08</v>
      </c>
      <c r="DU29" s="226">
        <f t="shared" si="36"/>
        <v>0</v>
      </c>
      <c r="DV29" s="223"/>
      <c r="DW29" s="232"/>
      <c r="DX29" s="230">
        <v>700</v>
      </c>
      <c r="DY29" s="231">
        <v>14.6</v>
      </c>
      <c r="DZ29" s="229">
        <f t="shared" si="37"/>
        <v>0</v>
      </c>
      <c r="EA29" s="223"/>
      <c r="EB29" s="125"/>
      <c r="EC29" s="230">
        <v>700</v>
      </c>
      <c r="ED29" s="233">
        <v>1.1259999999999999</v>
      </c>
      <c r="EE29" s="226">
        <f t="shared" si="38"/>
        <v>0</v>
      </c>
      <c r="EF29" s="223"/>
      <c r="EH29" s="154">
        <v>700</v>
      </c>
      <c r="EI29" s="219">
        <v>1.113</v>
      </c>
      <c r="EJ29" s="226">
        <f t="shared" si="39"/>
        <v>0</v>
      </c>
      <c r="EK29" s="223"/>
      <c r="EM29" s="230">
        <v>700</v>
      </c>
      <c r="EN29" s="233">
        <v>1.1259999999999999</v>
      </c>
      <c r="EO29" s="226">
        <f t="shared" si="40"/>
        <v>0</v>
      </c>
      <c r="EP29" s="223"/>
      <c r="EQ29" s="232"/>
      <c r="ER29" s="224"/>
      <c r="ES29" s="224"/>
      <c r="ET29" s="389"/>
      <c r="EU29" s="5"/>
      <c r="EV29" s="125"/>
      <c r="EW29" s="230">
        <v>700</v>
      </c>
      <c r="EX29" s="233">
        <v>1.1259999999999999</v>
      </c>
      <c r="EY29" s="226">
        <f t="shared" si="41"/>
        <v>0</v>
      </c>
      <c r="EZ29" s="223"/>
      <c r="FA29" s="232"/>
      <c r="FB29" s="224"/>
      <c r="FC29" s="224"/>
      <c r="FD29" s="389"/>
      <c r="FE29" s="5"/>
      <c r="FG29" s="224">
        <v>700</v>
      </c>
      <c r="FH29" s="225">
        <v>2.08</v>
      </c>
      <c r="FI29" s="226">
        <f t="shared" si="42"/>
        <v>0</v>
      </c>
      <c r="FJ29" s="223"/>
      <c r="FK29" s="232"/>
      <c r="FL29" s="230">
        <v>700</v>
      </c>
      <c r="FM29" s="231">
        <v>14.6</v>
      </c>
      <c r="FN29" s="229">
        <f t="shared" si="43"/>
        <v>0</v>
      </c>
      <c r="FO29" s="223"/>
      <c r="FP29" s="125"/>
      <c r="FQ29" s="230">
        <v>700</v>
      </c>
      <c r="FR29" s="233">
        <v>1.1259999999999999</v>
      </c>
      <c r="FS29" s="226">
        <f t="shared" si="44"/>
        <v>0</v>
      </c>
      <c r="FT29" s="223"/>
      <c r="FV29" s="154">
        <v>700</v>
      </c>
      <c r="FW29" s="219">
        <v>1.113</v>
      </c>
      <c r="FX29" s="226">
        <f t="shared" si="45"/>
        <v>0</v>
      </c>
      <c r="FY29" s="223"/>
      <c r="GA29" s="224">
        <v>700</v>
      </c>
      <c r="GB29" s="225">
        <v>2.08</v>
      </c>
      <c r="GC29" s="226">
        <f t="shared" si="46"/>
        <v>0</v>
      </c>
      <c r="GD29" s="223"/>
      <c r="GE29" s="232"/>
      <c r="GF29" s="230">
        <v>700</v>
      </c>
      <c r="GG29" s="231">
        <v>14.6</v>
      </c>
      <c r="GH29" s="229">
        <f t="shared" si="47"/>
        <v>0</v>
      </c>
      <c r="GI29" s="223"/>
      <c r="GJ29" s="125"/>
      <c r="GK29" s="230">
        <v>700</v>
      </c>
      <c r="GL29" s="233">
        <v>1.1259999999999999</v>
      </c>
      <c r="GM29" s="226">
        <f t="shared" si="48"/>
        <v>0</v>
      </c>
      <c r="GN29" s="223"/>
      <c r="GP29" s="154">
        <v>700</v>
      </c>
      <c r="GQ29" s="219">
        <v>1.113</v>
      </c>
      <c r="GR29" s="226">
        <f t="shared" si="49"/>
        <v>0</v>
      </c>
      <c r="GS29" s="223"/>
      <c r="GU29" s="224">
        <v>700</v>
      </c>
      <c r="GV29" s="225">
        <v>2.08</v>
      </c>
      <c r="GW29" s="226">
        <f t="shared" si="50"/>
        <v>0</v>
      </c>
      <c r="GX29" s="223"/>
      <c r="GY29" s="232"/>
      <c r="GZ29" s="230">
        <v>700</v>
      </c>
      <c r="HA29" s="231">
        <v>14.6</v>
      </c>
      <c r="HB29" s="229">
        <f t="shared" si="51"/>
        <v>0</v>
      </c>
      <c r="HC29" s="223"/>
      <c r="HD29" s="125"/>
      <c r="HE29" s="230">
        <v>700</v>
      </c>
      <c r="HF29" s="233">
        <v>1.1259999999999999</v>
      </c>
      <c r="HG29" s="226">
        <f t="shared" si="52"/>
        <v>0</v>
      </c>
      <c r="HH29" s="223"/>
      <c r="HI29" s="5"/>
      <c r="HJ29" s="154">
        <v>750</v>
      </c>
      <c r="HK29" s="219">
        <v>3.766</v>
      </c>
      <c r="HL29" s="226">
        <f t="shared" si="53"/>
        <v>0</v>
      </c>
      <c r="HM29" s="223"/>
      <c r="HO29" s="224">
        <v>700</v>
      </c>
      <c r="HP29" s="225">
        <v>2.08</v>
      </c>
      <c r="HQ29" s="226">
        <f t="shared" si="54"/>
        <v>0</v>
      </c>
      <c r="HR29" s="223"/>
      <c r="HS29" s="232"/>
      <c r="HT29" s="230">
        <v>700</v>
      </c>
      <c r="HU29" s="231">
        <v>14.6</v>
      </c>
      <c r="HV29" s="229">
        <f t="shared" si="55"/>
        <v>0</v>
      </c>
      <c r="HW29" s="223"/>
      <c r="HX29" s="125"/>
      <c r="HY29" s="230">
        <v>700</v>
      </c>
      <c r="HZ29" s="233">
        <v>1.1259999999999999</v>
      </c>
      <c r="IA29" s="226">
        <f t="shared" si="56"/>
        <v>0</v>
      </c>
      <c r="IB29" s="223"/>
      <c r="IC29" s="5"/>
      <c r="ID29" s="154">
        <v>750</v>
      </c>
      <c r="IE29" s="219">
        <v>3.766</v>
      </c>
      <c r="IF29" s="226">
        <f t="shared" si="57"/>
        <v>0</v>
      </c>
      <c r="IG29" s="223"/>
      <c r="II29" s="224">
        <v>700</v>
      </c>
      <c r="IJ29" s="225">
        <v>2.08</v>
      </c>
      <c r="IK29" s="226">
        <f t="shared" si="58"/>
        <v>0</v>
      </c>
      <c r="IL29" s="223"/>
      <c r="IM29" s="232"/>
      <c r="IN29" s="230">
        <v>700</v>
      </c>
      <c r="IO29" s="231">
        <v>14.6</v>
      </c>
      <c r="IP29" s="229">
        <f t="shared" si="59"/>
        <v>0</v>
      </c>
      <c r="IQ29" s="223"/>
      <c r="IR29" s="125"/>
      <c r="IS29" s="230">
        <v>700</v>
      </c>
      <c r="IT29" s="233">
        <v>1.1259999999999999</v>
      </c>
      <c r="IU29" s="226">
        <f t="shared" si="60"/>
        <v>0</v>
      </c>
      <c r="IV29" s="223"/>
      <c r="IW29" s="5"/>
      <c r="IX29" s="154">
        <v>750</v>
      </c>
      <c r="IY29" s="219">
        <v>3.766</v>
      </c>
      <c r="IZ29" s="226">
        <f t="shared" si="61"/>
        <v>0</v>
      </c>
      <c r="JA29" s="223"/>
      <c r="JC29" s="224">
        <v>700</v>
      </c>
      <c r="JD29" s="225">
        <v>2.08</v>
      </c>
      <c r="JE29" s="226">
        <f t="shared" si="62"/>
        <v>0</v>
      </c>
      <c r="JF29" s="223"/>
      <c r="JG29" s="232"/>
      <c r="JH29" s="230">
        <v>700</v>
      </c>
      <c r="JI29" s="231">
        <v>14.6</v>
      </c>
      <c r="JJ29" s="229">
        <f t="shared" si="63"/>
        <v>0</v>
      </c>
      <c r="JK29" s="223"/>
      <c r="JL29" s="125"/>
      <c r="JM29" s="230">
        <v>700</v>
      </c>
      <c r="JN29" s="233">
        <v>1.1259999999999999</v>
      </c>
      <c r="JO29" s="226">
        <f t="shared" si="64"/>
        <v>0</v>
      </c>
      <c r="JP29" s="223"/>
      <c r="JQ29" s="5"/>
      <c r="JR29" s="154">
        <v>750</v>
      </c>
      <c r="JS29" s="219">
        <v>3.766</v>
      </c>
      <c r="JT29" s="226">
        <f t="shared" si="65"/>
        <v>0</v>
      </c>
      <c r="JU29" s="223"/>
      <c r="JW29" s="224">
        <v>700</v>
      </c>
      <c r="JX29" s="225">
        <v>2.08</v>
      </c>
      <c r="JY29" s="226">
        <f t="shared" si="0"/>
        <v>0</v>
      </c>
      <c r="JZ29" s="223"/>
      <c r="KA29" s="232"/>
      <c r="KB29" s="230">
        <v>700</v>
      </c>
      <c r="KC29" s="231">
        <v>14.6</v>
      </c>
      <c r="KD29" s="229">
        <f t="shared" si="1"/>
        <v>0</v>
      </c>
      <c r="KE29" s="223"/>
      <c r="KF29" s="125"/>
      <c r="KG29" s="230">
        <v>700</v>
      </c>
      <c r="KH29" s="233">
        <v>1.1259999999999999</v>
      </c>
      <c r="KI29" s="226">
        <f t="shared" si="2"/>
        <v>0</v>
      </c>
      <c r="KJ29" s="223"/>
      <c r="KK29" s="5"/>
      <c r="KL29" s="154">
        <v>750</v>
      </c>
      <c r="KM29" s="219">
        <v>3.766</v>
      </c>
      <c r="KN29" s="226">
        <f t="shared" si="3"/>
        <v>0</v>
      </c>
      <c r="KO29" s="223"/>
      <c r="KQ29" s="224">
        <v>700</v>
      </c>
      <c r="KR29" s="225">
        <v>2.08</v>
      </c>
      <c r="KS29" s="226">
        <f t="shared" si="4"/>
        <v>2.09056</v>
      </c>
      <c r="KT29" s="223"/>
      <c r="KU29" s="232"/>
      <c r="KV29" s="230">
        <v>700</v>
      </c>
      <c r="KW29" s="231">
        <v>14.6</v>
      </c>
      <c r="KX29" s="229">
        <f t="shared" si="5"/>
        <v>14.616</v>
      </c>
      <c r="KY29" s="223"/>
      <c r="KZ29" s="125"/>
      <c r="LA29" s="230">
        <v>700</v>
      </c>
      <c r="LB29" s="233">
        <v>1.1259999999999999</v>
      </c>
      <c r="LC29" s="226">
        <f t="shared" si="6"/>
        <v>1.1330399999999998</v>
      </c>
      <c r="LD29" s="223"/>
      <c r="LE29" s="5"/>
      <c r="LF29" s="154">
        <v>750</v>
      </c>
      <c r="LG29" s="219">
        <v>3.766</v>
      </c>
      <c r="LH29" s="226">
        <f t="shared" si="7"/>
        <v>0</v>
      </c>
      <c r="LI29" s="223"/>
      <c r="LK29" s="224">
        <v>700</v>
      </c>
      <c r="LL29" s="225">
        <v>2.08</v>
      </c>
      <c r="LM29" s="226" t="e">
        <f t="shared" si="8"/>
        <v>#REF!</v>
      </c>
      <c r="LN29" s="223"/>
      <c r="LO29" s="232"/>
      <c r="LP29" s="230">
        <v>700</v>
      </c>
      <c r="LQ29" s="231">
        <v>14.6</v>
      </c>
      <c r="LR29" s="229" t="e">
        <f t="shared" si="9"/>
        <v>#REF!</v>
      </c>
      <c r="LS29" s="223"/>
      <c r="LT29" s="125"/>
      <c r="LU29" s="230">
        <v>700</v>
      </c>
      <c r="LV29" s="233">
        <v>1.1259999999999999</v>
      </c>
      <c r="LW29" s="226" t="e">
        <f t="shared" si="10"/>
        <v>#REF!</v>
      </c>
      <c r="LX29" s="223"/>
      <c r="LY29" s="5"/>
      <c r="LZ29" s="154">
        <v>750</v>
      </c>
      <c r="MA29" s="219">
        <v>3.766</v>
      </c>
      <c r="MB29" s="226" t="e">
        <f t="shared" si="11"/>
        <v>#REF!</v>
      </c>
      <c r="MC29" s="223"/>
    </row>
    <row r="30" spans="2:341" ht="16" thickBot="1" x14ac:dyDescent="0.25">
      <c r="B30" s="232"/>
      <c r="C30" s="224">
        <v>750</v>
      </c>
      <c r="D30" s="225">
        <v>2.113</v>
      </c>
      <c r="E30" s="226">
        <f t="shared" si="12"/>
        <v>0</v>
      </c>
      <c r="F30" s="223"/>
      <c r="G30" s="232"/>
      <c r="H30" s="230">
        <v>750</v>
      </c>
      <c r="I30" s="231">
        <v>14.65</v>
      </c>
      <c r="J30" s="229">
        <f t="shared" si="13"/>
        <v>0</v>
      </c>
      <c r="K30" s="223"/>
      <c r="L30" s="125"/>
      <c r="M30" s="230">
        <v>750</v>
      </c>
      <c r="N30" s="233">
        <v>1.1479999999999999</v>
      </c>
      <c r="O30" s="226">
        <f t="shared" si="14"/>
        <v>0</v>
      </c>
      <c r="P30" s="223"/>
      <c r="Q30" s="5"/>
      <c r="R30" s="154">
        <v>800</v>
      </c>
      <c r="S30" s="219">
        <v>3.923</v>
      </c>
      <c r="T30" s="226">
        <f t="shared" si="15"/>
        <v>0</v>
      </c>
      <c r="U30" s="223"/>
      <c r="V30" s="237"/>
      <c r="W30" s="224">
        <v>750</v>
      </c>
      <c r="X30" s="225">
        <v>2.113</v>
      </c>
      <c r="Y30" s="226">
        <f t="shared" si="16"/>
        <v>0</v>
      </c>
      <c r="Z30" s="223"/>
      <c r="AA30" s="232"/>
      <c r="AB30" s="230">
        <v>750</v>
      </c>
      <c r="AC30" s="231">
        <v>14.65</v>
      </c>
      <c r="AD30" s="229">
        <f t="shared" si="17"/>
        <v>0</v>
      </c>
      <c r="AE30" s="223"/>
      <c r="AF30" s="125"/>
      <c r="AG30" s="230">
        <v>750</v>
      </c>
      <c r="AH30" s="233">
        <v>1.1479999999999999</v>
      </c>
      <c r="AI30" s="226">
        <f t="shared" si="18"/>
        <v>0</v>
      </c>
      <c r="AJ30" s="223"/>
      <c r="AK30" s="5"/>
      <c r="AL30" s="154">
        <v>750</v>
      </c>
      <c r="AM30" s="219">
        <v>1.1259999999999999</v>
      </c>
      <c r="AN30" s="226">
        <f t="shared" si="19"/>
        <v>0</v>
      </c>
      <c r="AO30" s="223"/>
      <c r="AQ30" s="224">
        <v>750</v>
      </c>
      <c r="AR30" s="225">
        <v>2.113</v>
      </c>
      <c r="AS30" s="226">
        <f t="shared" si="20"/>
        <v>0</v>
      </c>
      <c r="AT30" s="223"/>
      <c r="AU30" s="232"/>
      <c r="AV30" s="230">
        <v>750</v>
      </c>
      <c r="AW30" s="231">
        <v>14.65</v>
      </c>
      <c r="AX30" s="229">
        <f t="shared" si="21"/>
        <v>0</v>
      </c>
      <c r="AY30" s="223"/>
      <c r="AZ30" s="125"/>
      <c r="BA30" s="230">
        <v>750</v>
      </c>
      <c r="BB30" s="233">
        <v>1.1479999999999999</v>
      </c>
      <c r="BC30" s="226">
        <f t="shared" si="22"/>
        <v>0</v>
      </c>
      <c r="BD30" s="223"/>
      <c r="BE30" s="5"/>
      <c r="BF30" s="154">
        <v>800</v>
      </c>
      <c r="BG30" s="219">
        <v>3.923</v>
      </c>
      <c r="BH30" s="226">
        <f t="shared" si="23"/>
        <v>0</v>
      </c>
      <c r="BI30" s="223"/>
      <c r="BK30" s="224">
        <v>750</v>
      </c>
      <c r="BL30" s="225">
        <v>2.113</v>
      </c>
      <c r="BM30" s="226">
        <f t="shared" si="24"/>
        <v>0</v>
      </c>
      <c r="BN30" s="223"/>
      <c r="BO30" s="232"/>
      <c r="BP30" s="230">
        <v>750</v>
      </c>
      <c r="BQ30" s="231">
        <v>14.65</v>
      </c>
      <c r="BR30" s="229">
        <f t="shared" si="25"/>
        <v>0</v>
      </c>
      <c r="BS30" s="223"/>
      <c r="BT30" s="125"/>
      <c r="BU30" s="230">
        <v>750</v>
      </c>
      <c r="BV30" s="233">
        <v>1.1479999999999999</v>
      </c>
      <c r="BW30" s="226">
        <f t="shared" si="26"/>
        <v>0</v>
      </c>
      <c r="BX30" s="223"/>
      <c r="BY30" s="5"/>
      <c r="BZ30" s="154">
        <v>750</v>
      </c>
      <c r="CA30" s="219">
        <v>1.1259999999999999</v>
      </c>
      <c r="CB30" s="226">
        <f t="shared" si="27"/>
        <v>0</v>
      </c>
      <c r="CC30" s="223"/>
      <c r="CE30" s="224">
        <v>750</v>
      </c>
      <c r="CF30" s="225">
        <v>2.113</v>
      </c>
      <c r="CG30" s="226">
        <f t="shared" si="28"/>
        <v>0</v>
      </c>
      <c r="CH30" s="223"/>
      <c r="CI30" s="232"/>
      <c r="CJ30" s="230">
        <v>750</v>
      </c>
      <c r="CK30" s="231">
        <v>14.65</v>
      </c>
      <c r="CL30" s="229">
        <f t="shared" si="29"/>
        <v>0</v>
      </c>
      <c r="CM30" s="223"/>
      <c r="CN30" s="125"/>
      <c r="CO30" s="230">
        <v>750</v>
      </c>
      <c r="CP30" s="233">
        <v>1.1479999999999999</v>
      </c>
      <c r="CQ30" s="226">
        <f t="shared" si="30"/>
        <v>0</v>
      </c>
      <c r="CR30" s="223"/>
      <c r="CT30" s="154">
        <v>750</v>
      </c>
      <c r="CU30" s="219">
        <v>1.1259999999999999</v>
      </c>
      <c r="CV30" s="226">
        <f t="shared" si="31"/>
        <v>0</v>
      </c>
      <c r="CW30" s="223"/>
      <c r="CY30" s="224">
        <v>750</v>
      </c>
      <c r="CZ30" s="225">
        <v>2.113</v>
      </c>
      <c r="DA30" s="226">
        <f t="shared" si="32"/>
        <v>0</v>
      </c>
      <c r="DB30" s="223"/>
      <c r="DC30" s="232"/>
      <c r="DD30" s="230">
        <v>750</v>
      </c>
      <c r="DE30" s="231">
        <v>14.65</v>
      </c>
      <c r="DF30" s="229">
        <f t="shared" si="33"/>
        <v>0</v>
      </c>
      <c r="DG30" s="223"/>
      <c r="DH30" s="125"/>
      <c r="DI30" s="230">
        <v>750</v>
      </c>
      <c r="DJ30" s="233">
        <v>1.1479999999999999</v>
      </c>
      <c r="DK30" s="226">
        <f t="shared" si="34"/>
        <v>0</v>
      </c>
      <c r="DL30" s="223"/>
      <c r="DN30" s="154">
        <v>750</v>
      </c>
      <c r="DO30" s="219">
        <v>1.1259999999999999</v>
      </c>
      <c r="DP30" s="226">
        <f t="shared" si="35"/>
        <v>0</v>
      </c>
      <c r="DQ30" s="223"/>
      <c r="DS30" s="224">
        <v>750</v>
      </c>
      <c r="DT30" s="225">
        <v>2.113</v>
      </c>
      <c r="DU30" s="226">
        <f t="shared" si="36"/>
        <v>0</v>
      </c>
      <c r="DV30" s="223"/>
      <c r="DW30" s="232"/>
      <c r="DX30" s="230">
        <v>750</v>
      </c>
      <c r="DY30" s="231">
        <v>14.65</v>
      </c>
      <c r="DZ30" s="229">
        <f t="shared" si="37"/>
        <v>0</v>
      </c>
      <c r="EA30" s="223"/>
      <c r="EB30" s="125"/>
      <c r="EC30" s="230">
        <v>750</v>
      </c>
      <c r="ED30" s="233">
        <v>1.1479999999999999</v>
      </c>
      <c r="EE30" s="226">
        <f t="shared" si="38"/>
        <v>0</v>
      </c>
      <c r="EF30" s="223"/>
      <c r="EH30" s="154">
        <v>750</v>
      </c>
      <c r="EI30" s="219">
        <v>1.1259999999999999</v>
      </c>
      <c r="EJ30" s="226">
        <f t="shared" si="39"/>
        <v>0</v>
      </c>
      <c r="EK30" s="223"/>
      <c r="EM30" s="230">
        <v>750</v>
      </c>
      <c r="EN30" s="233">
        <v>1.1479999999999999</v>
      </c>
      <c r="EO30" s="226">
        <f t="shared" si="40"/>
        <v>0</v>
      </c>
      <c r="EP30" s="223"/>
      <c r="EQ30" s="232"/>
      <c r="ER30" s="224"/>
      <c r="ES30" s="224"/>
      <c r="ET30" s="389"/>
      <c r="EU30" s="5"/>
      <c r="EV30" s="125"/>
      <c r="EW30" s="230">
        <v>750</v>
      </c>
      <c r="EX30" s="233">
        <v>1.1479999999999999</v>
      </c>
      <c r="EY30" s="226">
        <f t="shared" si="41"/>
        <v>0</v>
      </c>
      <c r="EZ30" s="223"/>
      <c r="FA30" s="232"/>
      <c r="FB30" s="224"/>
      <c r="FC30" s="224"/>
      <c r="FD30" s="389"/>
      <c r="FE30" s="5"/>
      <c r="FG30" s="224">
        <v>750</v>
      </c>
      <c r="FH30" s="225">
        <v>2.113</v>
      </c>
      <c r="FI30" s="226">
        <f t="shared" si="42"/>
        <v>0</v>
      </c>
      <c r="FJ30" s="223"/>
      <c r="FK30" s="232"/>
      <c r="FL30" s="230">
        <v>750</v>
      </c>
      <c r="FM30" s="231">
        <v>14.65</v>
      </c>
      <c r="FN30" s="229">
        <f t="shared" si="43"/>
        <v>0</v>
      </c>
      <c r="FO30" s="223"/>
      <c r="FP30" s="125"/>
      <c r="FQ30" s="230">
        <v>750</v>
      </c>
      <c r="FR30" s="233">
        <v>1.1479999999999999</v>
      </c>
      <c r="FS30" s="226">
        <f t="shared" si="44"/>
        <v>0</v>
      </c>
      <c r="FT30" s="223"/>
      <c r="FV30" s="154">
        <v>750</v>
      </c>
      <c r="FW30" s="219">
        <v>1.1259999999999999</v>
      </c>
      <c r="FX30" s="226">
        <f t="shared" si="45"/>
        <v>0</v>
      </c>
      <c r="FY30" s="223"/>
      <c r="GA30" s="224">
        <v>750</v>
      </c>
      <c r="GB30" s="225">
        <v>2.113</v>
      </c>
      <c r="GC30" s="226">
        <f t="shared" si="46"/>
        <v>0</v>
      </c>
      <c r="GD30" s="223"/>
      <c r="GE30" s="232"/>
      <c r="GF30" s="230">
        <v>750</v>
      </c>
      <c r="GG30" s="231">
        <v>14.65</v>
      </c>
      <c r="GH30" s="229">
        <f t="shared" si="47"/>
        <v>0</v>
      </c>
      <c r="GI30" s="223"/>
      <c r="GJ30" s="125"/>
      <c r="GK30" s="230">
        <v>750</v>
      </c>
      <c r="GL30" s="233">
        <v>1.1479999999999999</v>
      </c>
      <c r="GM30" s="226">
        <f t="shared" si="48"/>
        <v>0</v>
      </c>
      <c r="GN30" s="223"/>
      <c r="GP30" s="154">
        <v>750</v>
      </c>
      <c r="GQ30" s="219">
        <v>1.1259999999999999</v>
      </c>
      <c r="GR30" s="226">
        <f t="shared" si="49"/>
        <v>0</v>
      </c>
      <c r="GS30" s="223"/>
      <c r="GU30" s="224">
        <v>750</v>
      </c>
      <c r="GV30" s="225">
        <v>2.113</v>
      </c>
      <c r="GW30" s="226">
        <f t="shared" si="50"/>
        <v>0</v>
      </c>
      <c r="GX30" s="223"/>
      <c r="GY30" s="232"/>
      <c r="GZ30" s="230">
        <v>750</v>
      </c>
      <c r="HA30" s="231">
        <v>14.65</v>
      </c>
      <c r="HB30" s="229">
        <f t="shared" si="51"/>
        <v>0</v>
      </c>
      <c r="HC30" s="223"/>
      <c r="HD30" s="125"/>
      <c r="HE30" s="230">
        <v>750</v>
      </c>
      <c r="HF30" s="233">
        <v>1.1479999999999999</v>
      </c>
      <c r="HG30" s="226">
        <f t="shared" si="52"/>
        <v>0</v>
      </c>
      <c r="HH30" s="223"/>
      <c r="HI30" s="5"/>
      <c r="HJ30" s="154">
        <v>800</v>
      </c>
      <c r="HK30" s="219">
        <v>3.923</v>
      </c>
      <c r="HL30" s="226">
        <f t="shared" si="53"/>
        <v>0</v>
      </c>
      <c r="HM30" s="223"/>
      <c r="HO30" s="224">
        <v>750</v>
      </c>
      <c r="HP30" s="225">
        <v>2.113</v>
      </c>
      <c r="HQ30" s="226">
        <f t="shared" si="54"/>
        <v>0</v>
      </c>
      <c r="HR30" s="223"/>
      <c r="HS30" s="232"/>
      <c r="HT30" s="230">
        <v>750</v>
      </c>
      <c r="HU30" s="231">
        <v>14.65</v>
      </c>
      <c r="HV30" s="229">
        <f t="shared" si="55"/>
        <v>0</v>
      </c>
      <c r="HW30" s="223"/>
      <c r="HX30" s="125"/>
      <c r="HY30" s="230">
        <v>750</v>
      </c>
      <c r="HZ30" s="233">
        <v>1.1479999999999999</v>
      </c>
      <c r="IA30" s="226">
        <f t="shared" si="56"/>
        <v>0</v>
      </c>
      <c r="IB30" s="223"/>
      <c r="IC30" s="5"/>
      <c r="ID30" s="154">
        <v>800</v>
      </c>
      <c r="IE30" s="219">
        <v>3.923</v>
      </c>
      <c r="IF30" s="226">
        <f t="shared" si="57"/>
        <v>0</v>
      </c>
      <c r="IG30" s="223"/>
      <c r="II30" s="224">
        <v>750</v>
      </c>
      <c r="IJ30" s="225">
        <v>2.113</v>
      </c>
      <c r="IK30" s="226">
        <f t="shared" si="58"/>
        <v>0</v>
      </c>
      <c r="IL30" s="223"/>
      <c r="IM30" s="232"/>
      <c r="IN30" s="230">
        <v>750</v>
      </c>
      <c r="IO30" s="231">
        <v>14.65</v>
      </c>
      <c r="IP30" s="229">
        <f t="shared" si="59"/>
        <v>0</v>
      </c>
      <c r="IQ30" s="223"/>
      <c r="IR30" s="125"/>
      <c r="IS30" s="230">
        <v>750</v>
      </c>
      <c r="IT30" s="233">
        <v>1.1479999999999999</v>
      </c>
      <c r="IU30" s="226">
        <f t="shared" si="60"/>
        <v>0</v>
      </c>
      <c r="IV30" s="223"/>
      <c r="IW30" s="5"/>
      <c r="IX30" s="154">
        <v>800</v>
      </c>
      <c r="IY30" s="219">
        <v>3.923</v>
      </c>
      <c r="IZ30" s="226">
        <f t="shared" si="61"/>
        <v>0</v>
      </c>
      <c r="JA30" s="223"/>
      <c r="JC30" s="224">
        <v>750</v>
      </c>
      <c r="JD30" s="225">
        <v>2.113</v>
      </c>
      <c r="JE30" s="226">
        <f t="shared" si="62"/>
        <v>0</v>
      </c>
      <c r="JF30" s="223"/>
      <c r="JG30" s="232"/>
      <c r="JH30" s="230">
        <v>750</v>
      </c>
      <c r="JI30" s="231">
        <v>14.65</v>
      </c>
      <c r="JJ30" s="229">
        <f t="shared" si="63"/>
        <v>0</v>
      </c>
      <c r="JK30" s="223"/>
      <c r="JL30" s="125"/>
      <c r="JM30" s="230">
        <v>750</v>
      </c>
      <c r="JN30" s="233">
        <v>1.1479999999999999</v>
      </c>
      <c r="JO30" s="226">
        <f t="shared" si="64"/>
        <v>0</v>
      </c>
      <c r="JP30" s="223"/>
      <c r="JQ30" s="5"/>
      <c r="JR30" s="154">
        <v>800</v>
      </c>
      <c r="JS30" s="219">
        <v>3.923</v>
      </c>
      <c r="JT30" s="226">
        <f t="shared" si="65"/>
        <v>0</v>
      </c>
      <c r="JU30" s="223"/>
      <c r="JW30" s="224">
        <v>750</v>
      </c>
      <c r="JX30" s="225">
        <v>2.113</v>
      </c>
      <c r="JY30" s="226">
        <f t="shared" si="0"/>
        <v>0</v>
      </c>
      <c r="JZ30" s="223"/>
      <c r="KA30" s="232"/>
      <c r="KB30" s="230">
        <v>750</v>
      </c>
      <c r="KC30" s="231">
        <v>14.65</v>
      </c>
      <c r="KD30" s="229">
        <f t="shared" si="1"/>
        <v>0</v>
      </c>
      <c r="KE30" s="223"/>
      <c r="KF30" s="125"/>
      <c r="KG30" s="230">
        <v>750</v>
      </c>
      <c r="KH30" s="233">
        <v>1.1479999999999999</v>
      </c>
      <c r="KI30" s="226">
        <f t="shared" si="2"/>
        <v>0</v>
      </c>
      <c r="KJ30" s="223"/>
      <c r="KK30" s="5"/>
      <c r="KL30" s="154">
        <v>800</v>
      </c>
      <c r="KM30" s="219">
        <v>3.923</v>
      </c>
      <c r="KN30" s="226">
        <f t="shared" si="3"/>
        <v>0</v>
      </c>
      <c r="KO30" s="223"/>
      <c r="KQ30" s="224">
        <v>750</v>
      </c>
      <c r="KR30" s="225">
        <v>2.113</v>
      </c>
      <c r="KS30" s="226">
        <f t="shared" si="4"/>
        <v>0</v>
      </c>
      <c r="KT30" s="223"/>
      <c r="KU30" s="232"/>
      <c r="KV30" s="230">
        <v>750</v>
      </c>
      <c r="KW30" s="231">
        <v>14.65</v>
      </c>
      <c r="KX30" s="229">
        <f t="shared" si="5"/>
        <v>0</v>
      </c>
      <c r="KY30" s="223"/>
      <c r="KZ30" s="125"/>
      <c r="LA30" s="230">
        <v>750</v>
      </c>
      <c r="LB30" s="233">
        <v>1.1479999999999999</v>
      </c>
      <c r="LC30" s="226">
        <f t="shared" si="6"/>
        <v>0</v>
      </c>
      <c r="LD30" s="223"/>
      <c r="LE30" s="5"/>
      <c r="LF30" s="154">
        <v>800</v>
      </c>
      <c r="LG30" s="219">
        <v>3.923</v>
      </c>
      <c r="LH30" s="226">
        <f t="shared" si="7"/>
        <v>0</v>
      </c>
      <c r="LI30" s="223"/>
      <c r="LK30" s="224">
        <v>750</v>
      </c>
      <c r="LL30" s="225">
        <v>2.113</v>
      </c>
      <c r="LM30" s="226" t="e">
        <f t="shared" si="8"/>
        <v>#REF!</v>
      </c>
      <c r="LN30" s="223"/>
      <c r="LO30" s="232"/>
      <c r="LP30" s="230">
        <v>750</v>
      </c>
      <c r="LQ30" s="231">
        <v>14.65</v>
      </c>
      <c r="LR30" s="229" t="e">
        <f t="shared" si="9"/>
        <v>#REF!</v>
      </c>
      <c r="LS30" s="223"/>
      <c r="LT30" s="125"/>
      <c r="LU30" s="230">
        <v>750</v>
      </c>
      <c r="LV30" s="233">
        <v>1.1479999999999999</v>
      </c>
      <c r="LW30" s="226" t="e">
        <f t="shared" si="10"/>
        <v>#REF!</v>
      </c>
      <c r="LX30" s="223"/>
      <c r="LY30" s="5"/>
      <c r="LZ30" s="154">
        <v>800</v>
      </c>
      <c r="MA30" s="219">
        <v>3.923</v>
      </c>
      <c r="MB30" s="226" t="e">
        <f t="shared" si="11"/>
        <v>#REF!</v>
      </c>
      <c r="MC30" s="223"/>
    </row>
    <row r="31" spans="2:341" ht="16" thickBot="1" x14ac:dyDescent="0.25">
      <c r="B31" s="232"/>
      <c r="C31" s="224">
        <v>800</v>
      </c>
      <c r="D31" s="225">
        <v>2.1469999999999998</v>
      </c>
      <c r="E31" s="226">
        <f t="shared" si="12"/>
        <v>0</v>
      </c>
      <c r="F31" s="223"/>
      <c r="G31" s="232"/>
      <c r="H31" s="230">
        <v>800</v>
      </c>
      <c r="I31" s="231">
        <v>14.71</v>
      </c>
      <c r="J31" s="229">
        <f t="shared" si="13"/>
        <v>0</v>
      </c>
      <c r="K31" s="223"/>
      <c r="L31" s="125"/>
      <c r="M31" s="230">
        <v>800</v>
      </c>
      <c r="N31" s="233">
        <v>1.1679999999999999</v>
      </c>
      <c r="O31" s="226">
        <f t="shared" si="14"/>
        <v>0</v>
      </c>
      <c r="P31" s="223"/>
      <c r="Q31" s="5"/>
      <c r="R31" s="154">
        <v>850</v>
      </c>
      <c r="S31" s="219">
        <v>4.0720000000000001</v>
      </c>
      <c r="T31" s="226">
        <f t="shared" si="15"/>
        <v>0</v>
      </c>
      <c r="U31" s="223"/>
      <c r="V31" s="237"/>
      <c r="W31" s="224">
        <v>800</v>
      </c>
      <c r="X31" s="225">
        <v>2.1469999999999998</v>
      </c>
      <c r="Y31" s="226">
        <f t="shared" si="16"/>
        <v>0</v>
      </c>
      <c r="Z31" s="223"/>
      <c r="AA31" s="232"/>
      <c r="AB31" s="230">
        <v>800</v>
      </c>
      <c r="AC31" s="231">
        <v>14.71</v>
      </c>
      <c r="AD31" s="229">
        <f t="shared" si="17"/>
        <v>0</v>
      </c>
      <c r="AE31" s="223"/>
      <c r="AF31" s="125"/>
      <c r="AG31" s="230">
        <v>800</v>
      </c>
      <c r="AH31" s="233">
        <v>1.1679999999999999</v>
      </c>
      <c r="AI31" s="226">
        <f t="shared" si="18"/>
        <v>0</v>
      </c>
      <c r="AJ31" s="223"/>
      <c r="AK31" s="5"/>
      <c r="AL31" s="154">
        <v>800</v>
      </c>
      <c r="AM31" s="219">
        <v>1.139</v>
      </c>
      <c r="AN31" s="226">
        <f t="shared" si="19"/>
        <v>0</v>
      </c>
      <c r="AO31" s="223"/>
      <c r="AQ31" s="224">
        <v>800</v>
      </c>
      <c r="AR31" s="225">
        <v>2.1469999999999998</v>
      </c>
      <c r="AS31" s="226">
        <f t="shared" si="20"/>
        <v>0</v>
      </c>
      <c r="AT31" s="223"/>
      <c r="AU31" s="232"/>
      <c r="AV31" s="230">
        <v>800</v>
      </c>
      <c r="AW31" s="231">
        <v>14.71</v>
      </c>
      <c r="AX31" s="229">
        <f t="shared" si="21"/>
        <v>0</v>
      </c>
      <c r="AY31" s="223"/>
      <c r="AZ31" s="125"/>
      <c r="BA31" s="230">
        <v>800</v>
      </c>
      <c r="BB31" s="233">
        <v>1.1679999999999999</v>
      </c>
      <c r="BC31" s="226">
        <f t="shared" si="22"/>
        <v>0</v>
      </c>
      <c r="BD31" s="223"/>
      <c r="BE31" s="5"/>
      <c r="BF31" s="154">
        <v>850</v>
      </c>
      <c r="BG31" s="219">
        <v>4.0720000000000001</v>
      </c>
      <c r="BH31" s="226">
        <f t="shared" si="23"/>
        <v>0</v>
      </c>
      <c r="BI31" s="223"/>
      <c r="BK31" s="224">
        <v>800</v>
      </c>
      <c r="BL31" s="225">
        <v>2.1469999999999998</v>
      </c>
      <c r="BM31" s="226">
        <f t="shared" si="24"/>
        <v>0</v>
      </c>
      <c r="BN31" s="223"/>
      <c r="BO31" s="232"/>
      <c r="BP31" s="230">
        <v>800</v>
      </c>
      <c r="BQ31" s="231">
        <v>14.71</v>
      </c>
      <c r="BR31" s="229">
        <f t="shared" si="25"/>
        <v>0</v>
      </c>
      <c r="BS31" s="223"/>
      <c r="BT31" s="125"/>
      <c r="BU31" s="230">
        <v>800</v>
      </c>
      <c r="BV31" s="233">
        <v>1.1679999999999999</v>
      </c>
      <c r="BW31" s="226">
        <f t="shared" si="26"/>
        <v>0</v>
      </c>
      <c r="BX31" s="223"/>
      <c r="BY31" s="5"/>
      <c r="BZ31" s="154">
        <v>800</v>
      </c>
      <c r="CA31" s="219">
        <v>1.139</v>
      </c>
      <c r="CB31" s="226">
        <f t="shared" si="27"/>
        <v>0</v>
      </c>
      <c r="CC31" s="223"/>
      <c r="CE31" s="224">
        <v>800</v>
      </c>
      <c r="CF31" s="225">
        <v>2.1469999999999998</v>
      </c>
      <c r="CG31" s="226">
        <f t="shared" si="28"/>
        <v>0</v>
      </c>
      <c r="CH31" s="223"/>
      <c r="CI31" s="232"/>
      <c r="CJ31" s="230">
        <v>800</v>
      </c>
      <c r="CK31" s="231">
        <v>14.71</v>
      </c>
      <c r="CL31" s="229">
        <f t="shared" si="29"/>
        <v>0</v>
      </c>
      <c r="CM31" s="223"/>
      <c r="CN31" s="125"/>
      <c r="CO31" s="230">
        <v>800</v>
      </c>
      <c r="CP31" s="233">
        <v>1.1679999999999999</v>
      </c>
      <c r="CQ31" s="226">
        <f t="shared" si="30"/>
        <v>0</v>
      </c>
      <c r="CR31" s="223"/>
      <c r="CT31" s="154">
        <v>800</v>
      </c>
      <c r="CU31" s="219">
        <v>1.139</v>
      </c>
      <c r="CV31" s="226">
        <f t="shared" si="31"/>
        <v>0</v>
      </c>
      <c r="CW31" s="223"/>
      <c r="CY31" s="224">
        <v>800</v>
      </c>
      <c r="CZ31" s="225">
        <v>2.1469999999999998</v>
      </c>
      <c r="DA31" s="226">
        <f t="shared" si="32"/>
        <v>0</v>
      </c>
      <c r="DB31" s="223"/>
      <c r="DC31" s="232"/>
      <c r="DD31" s="230">
        <v>800</v>
      </c>
      <c r="DE31" s="231">
        <v>14.71</v>
      </c>
      <c r="DF31" s="229">
        <f t="shared" si="33"/>
        <v>0</v>
      </c>
      <c r="DG31" s="223"/>
      <c r="DH31" s="125"/>
      <c r="DI31" s="230">
        <v>800</v>
      </c>
      <c r="DJ31" s="233">
        <v>1.1679999999999999</v>
      </c>
      <c r="DK31" s="226">
        <f t="shared" si="34"/>
        <v>0</v>
      </c>
      <c r="DL31" s="223"/>
      <c r="DN31" s="154">
        <v>800</v>
      </c>
      <c r="DO31" s="219">
        <v>1.139</v>
      </c>
      <c r="DP31" s="226">
        <f t="shared" si="35"/>
        <v>0</v>
      </c>
      <c r="DQ31" s="223"/>
      <c r="DS31" s="224">
        <v>800</v>
      </c>
      <c r="DT31" s="225">
        <v>2.1469999999999998</v>
      </c>
      <c r="DU31" s="226">
        <f t="shared" si="36"/>
        <v>0</v>
      </c>
      <c r="DV31" s="223"/>
      <c r="DW31" s="232"/>
      <c r="DX31" s="230">
        <v>800</v>
      </c>
      <c r="DY31" s="231">
        <v>14.71</v>
      </c>
      <c r="DZ31" s="229">
        <f t="shared" si="37"/>
        <v>0</v>
      </c>
      <c r="EA31" s="223"/>
      <c r="EB31" s="125"/>
      <c r="EC31" s="230">
        <v>800</v>
      </c>
      <c r="ED31" s="233">
        <v>1.1679999999999999</v>
      </c>
      <c r="EE31" s="226">
        <f t="shared" si="38"/>
        <v>0</v>
      </c>
      <c r="EF31" s="223"/>
      <c r="EH31" s="154">
        <v>800</v>
      </c>
      <c r="EI31" s="219">
        <v>1.139</v>
      </c>
      <c r="EJ31" s="226">
        <f t="shared" si="39"/>
        <v>0</v>
      </c>
      <c r="EK31" s="223"/>
      <c r="EM31" s="230">
        <v>800</v>
      </c>
      <c r="EN31" s="233">
        <v>1.1679999999999999</v>
      </c>
      <c r="EO31" s="226">
        <f t="shared" si="40"/>
        <v>0</v>
      </c>
      <c r="EP31" s="223"/>
      <c r="EQ31" s="232"/>
      <c r="ER31" s="224"/>
      <c r="ES31" s="224"/>
      <c r="ET31" s="389"/>
      <c r="EU31" s="5"/>
      <c r="EV31" s="125"/>
      <c r="EW31" s="230">
        <v>800</v>
      </c>
      <c r="EX31" s="233">
        <v>1.1679999999999999</v>
      </c>
      <c r="EY31" s="226">
        <f t="shared" si="41"/>
        <v>0</v>
      </c>
      <c r="EZ31" s="223"/>
      <c r="FA31" s="232"/>
      <c r="FB31" s="224"/>
      <c r="FC31" s="224"/>
      <c r="FD31" s="389"/>
      <c r="FE31" s="5"/>
      <c r="FG31" s="224">
        <v>800</v>
      </c>
      <c r="FH31" s="225">
        <v>2.1469999999999998</v>
      </c>
      <c r="FI31" s="226">
        <f t="shared" si="42"/>
        <v>0</v>
      </c>
      <c r="FJ31" s="223"/>
      <c r="FK31" s="232"/>
      <c r="FL31" s="230">
        <v>800</v>
      </c>
      <c r="FM31" s="231">
        <v>14.71</v>
      </c>
      <c r="FN31" s="229">
        <f t="shared" si="43"/>
        <v>0</v>
      </c>
      <c r="FO31" s="223"/>
      <c r="FP31" s="125"/>
      <c r="FQ31" s="230">
        <v>800</v>
      </c>
      <c r="FR31" s="233">
        <v>1.1679999999999999</v>
      </c>
      <c r="FS31" s="226">
        <f t="shared" si="44"/>
        <v>0</v>
      </c>
      <c r="FT31" s="223"/>
      <c r="FV31" s="154">
        <v>800</v>
      </c>
      <c r="FW31" s="219">
        <v>1.139</v>
      </c>
      <c r="FX31" s="226">
        <f t="shared" si="45"/>
        <v>0</v>
      </c>
      <c r="FY31" s="223"/>
      <c r="GA31" s="224">
        <v>800</v>
      </c>
      <c r="GB31" s="225">
        <v>2.1469999999999998</v>
      </c>
      <c r="GC31" s="226">
        <f t="shared" si="46"/>
        <v>0</v>
      </c>
      <c r="GD31" s="223"/>
      <c r="GE31" s="232"/>
      <c r="GF31" s="230">
        <v>800</v>
      </c>
      <c r="GG31" s="231">
        <v>14.71</v>
      </c>
      <c r="GH31" s="229">
        <f t="shared" si="47"/>
        <v>0</v>
      </c>
      <c r="GI31" s="223"/>
      <c r="GJ31" s="125"/>
      <c r="GK31" s="230">
        <v>800</v>
      </c>
      <c r="GL31" s="233">
        <v>1.1679999999999999</v>
      </c>
      <c r="GM31" s="226">
        <f t="shared" si="48"/>
        <v>0</v>
      </c>
      <c r="GN31" s="223"/>
      <c r="GP31" s="154">
        <v>800</v>
      </c>
      <c r="GQ31" s="219">
        <v>1.139</v>
      </c>
      <c r="GR31" s="226">
        <f t="shared" si="49"/>
        <v>0</v>
      </c>
      <c r="GS31" s="223"/>
      <c r="GU31" s="224">
        <v>800</v>
      </c>
      <c r="GV31" s="225">
        <v>2.1469999999999998</v>
      </c>
      <c r="GW31" s="226">
        <f t="shared" si="50"/>
        <v>0</v>
      </c>
      <c r="GX31" s="223"/>
      <c r="GY31" s="232"/>
      <c r="GZ31" s="230">
        <v>800</v>
      </c>
      <c r="HA31" s="231">
        <v>14.71</v>
      </c>
      <c r="HB31" s="229">
        <f t="shared" si="51"/>
        <v>0</v>
      </c>
      <c r="HC31" s="223"/>
      <c r="HD31" s="125"/>
      <c r="HE31" s="230">
        <v>800</v>
      </c>
      <c r="HF31" s="233">
        <v>1.1679999999999999</v>
      </c>
      <c r="HG31" s="226">
        <f t="shared" si="52"/>
        <v>0</v>
      </c>
      <c r="HH31" s="223"/>
      <c r="HI31" s="5"/>
      <c r="HJ31" s="154">
        <v>850</v>
      </c>
      <c r="HK31" s="219">
        <v>4.0720000000000001</v>
      </c>
      <c r="HL31" s="226">
        <f t="shared" si="53"/>
        <v>0</v>
      </c>
      <c r="HM31" s="223"/>
      <c r="HO31" s="224">
        <v>800</v>
      </c>
      <c r="HP31" s="225">
        <v>2.1469999999999998</v>
      </c>
      <c r="HQ31" s="226">
        <f t="shared" si="54"/>
        <v>0</v>
      </c>
      <c r="HR31" s="223"/>
      <c r="HS31" s="232"/>
      <c r="HT31" s="230">
        <v>800</v>
      </c>
      <c r="HU31" s="231">
        <v>14.71</v>
      </c>
      <c r="HV31" s="229">
        <f t="shared" si="55"/>
        <v>0</v>
      </c>
      <c r="HW31" s="223"/>
      <c r="HX31" s="125"/>
      <c r="HY31" s="230">
        <v>800</v>
      </c>
      <c r="HZ31" s="233">
        <v>1.1679999999999999</v>
      </c>
      <c r="IA31" s="226">
        <f t="shared" si="56"/>
        <v>0</v>
      </c>
      <c r="IB31" s="223"/>
      <c r="IC31" s="5"/>
      <c r="ID31" s="154">
        <v>850</v>
      </c>
      <c r="IE31" s="219">
        <v>4.0720000000000001</v>
      </c>
      <c r="IF31" s="226">
        <f t="shared" si="57"/>
        <v>0</v>
      </c>
      <c r="IG31" s="223"/>
      <c r="II31" s="224">
        <v>800</v>
      </c>
      <c r="IJ31" s="225">
        <v>2.1469999999999998</v>
      </c>
      <c r="IK31" s="226">
        <f t="shared" si="58"/>
        <v>0</v>
      </c>
      <c r="IL31" s="223"/>
      <c r="IM31" s="232"/>
      <c r="IN31" s="230">
        <v>800</v>
      </c>
      <c r="IO31" s="231">
        <v>14.71</v>
      </c>
      <c r="IP31" s="229">
        <f t="shared" si="59"/>
        <v>0</v>
      </c>
      <c r="IQ31" s="223"/>
      <c r="IR31" s="125"/>
      <c r="IS31" s="230">
        <v>800</v>
      </c>
      <c r="IT31" s="233">
        <v>1.1679999999999999</v>
      </c>
      <c r="IU31" s="226">
        <f t="shared" si="60"/>
        <v>0</v>
      </c>
      <c r="IV31" s="223"/>
      <c r="IW31" s="5"/>
      <c r="IX31" s="154">
        <v>850</v>
      </c>
      <c r="IY31" s="219">
        <v>4.0720000000000001</v>
      </c>
      <c r="IZ31" s="226">
        <f t="shared" si="61"/>
        <v>0</v>
      </c>
      <c r="JA31" s="223"/>
      <c r="JC31" s="224">
        <v>800</v>
      </c>
      <c r="JD31" s="225">
        <v>2.1469999999999998</v>
      </c>
      <c r="JE31" s="226">
        <f t="shared" si="62"/>
        <v>0</v>
      </c>
      <c r="JF31" s="223"/>
      <c r="JG31" s="232"/>
      <c r="JH31" s="230">
        <v>800</v>
      </c>
      <c r="JI31" s="231">
        <v>14.71</v>
      </c>
      <c r="JJ31" s="229">
        <f t="shared" si="63"/>
        <v>0</v>
      </c>
      <c r="JK31" s="223"/>
      <c r="JL31" s="125"/>
      <c r="JM31" s="230">
        <v>800</v>
      </c>
      <c r="JN31" s="233">
        <v>1.1679999999999999</v>
      </c>
      <c r="JO31" s="226">
        <f t="shared" si="64"/>
        <v>0</v>
      </c>
      <c r="JP31" s="223"/>
      <c r="JQ31" s="5"/>
      <c r="JR31" s="154">
        <v>850</v>
      </c>
      <c r="JS31" s="219">
        <v>4.0720000000000001</v>
      </c>
      <c r="JT31" s="226">
        <f t="shared" si="65"/>
        <v>0</v>
      </c>
      <c r="JU31" s="223"/>
      <c r="JW31" s="224">
        <v>800</v>
      </c>
      <c r="JX31" s="225">
        <v>2.1469999999999998</v>
      </c>
      <c r="JY31" s="226">
        <f t="shared" si="0"/>
        <v>0</v>
      </c>
      <c r="JZ31" s="223"/>
      <c r="KA31" s="232"/>
      <c r="KB31" s="230">
        <v>800</v>
      </c>
      <c r="KC31" s="231">
        <v>14.71</v>
      </c>
      <c r="KD31" s="229">
        <f t="shared" si="1"/>
        <v>0</v>
      </c>
      <c r="KE31" s="223"/>
      <c r="KF31" s="125"/>
      <c r="KG31" s="230">
        <v>800</v>
      </c>
      <c r="KH31" s="233">
        <v>1.1679999999999999</v>
      </c>
      <c r="KI31" s="226">
        <f t="shared" si="2"/>
        <v>0</v>
      </c>
      <c r="KJ31" s="223"/>
      <c r="KK31" s="5"/>
      <c r="KL31" s="154">
        <v>850</v>
      </c>
      <c r="KM31" s="219">
        <v>4.0720000000000001</v>
      </c>
      <c r="KN31" s="226">
        <f t="shared" si="3"/>
        <v>0</v>
      </c>
      <c r="KO31" s="223"/>
      <c r="KQ31" s="224">
        <v>800</v>
      </c>
      <c r="KR31" s="225">
        <v>2.1469999999999998</v>
      </c>
      <c r="KS31" s="226">
        <f t="shared" si="4"/>
        <v>0</v>
      </c>
      <c r="KT31" s="223"/>
      <c r="KU31" s="232"/>
      <c r="KV31" s="230">
        <v>800</v>
      </c>
      <c r="KW31" s="231">
        <v>14.71</v>
      </c>
      <c r="KX31" s="229">
        <f t="shared" si="5"/>
        <v>0</v>
      </c>
      <c r="KY31" s="223"/>
      <c r="KZ31" s="125"/>
      <c r="LA31" s="230">
        <v>800</v>
      </c>
      <c r="LB31" s="233">
        <v>1.1679999999999999</v>
      </c>
      <c r="LC31" s="226">
        <f t="shared" si="6"/>
        <v>0</v>
      </c>
      <c r="LD31" s="223"/>
      <c r="LE31" s="5"/>
      <c r="LF31" s="154">
        <v>850</v>
      </c>
      <c r="LG31" s="219">
        <v>4.0720000000000001</v>
      </c>
      <c r="LH31" s="226">
        <f t="shared" si="7"/>
        <v>0</v>
      </c>
      <c r="LI31" s="223"/>
      <c r="LK31" s="224">
        <v>800</v>
      </c>
      <c r="LL31" s="225">
        <v>2.1469999999999998</v>
      </c>
      <c r="LM31" s="226" t="e">
        <f t="shared" si="8"/>
        <v>#REF!</v>
      </c>
      <c r="LN31" s="223"/>
      <c r="LO31" s="232"/>
      <c r="LP31" s="230">
        <v>800</v>
      </c>
      <c r="LQ31" s="231">
        <v>14.71</v>
      </c>
      <c r="LR31" s="229" t="e">
        <f t="shared" si="9"/>
        <v>#REF!</v>
      </c>
      <c r="LS31" s="223"/>
      <c r="LT31" s="125"/>
      <c r="LU31" s="230">
        <v>800</v>
      </c>
      <c r="LV31" s="233">
        <v>1.1679999999999999</v>
      </c>
      <c r="LW31" s="226" t="e">
        <f t="shared" si="10"/>
        <v>#REF!</v>
      </c>
      <c r="LX31" s="223"/>
      <c r="LY31" s="5"/>
      <c r="LZ31" s="154">
        <v>850</v>
      </c>
      <c r="MA31" s="219">
        <v>4.0720000000000001</v>
      </c>
      <c r="MB31" s="226" t="e">
        <f t="shared" si="11"/>
        <v>#REF!</v>
      </c>
      <c r="MC31" s="223"/>
    </row>
    <row r="32" spans="2:341" ht="16" thickBot="1" x14ac:dyDescent="0.25">
      <c r="B32" s="232"/>
      <c r="C32" s="224">
        <v>850</v>
      </c>
      <c r="D32" s="225">
        <v>2.1819999999999999</v>
      </c>
      <c r="E32" s="226">
        <f t="shared" si="12"/>
        <v>0</v>
      </c>
      <c r="F32" s="223"/>
      <c r="G32" s="232"/>
      <c r="H32" s="230">
        <v>850</v>
      </c>
      <c r="I32" s="231">
        <v>14.77</v>
      </c>
      <c r="J32" s="229">
        <f t="shared" si="13"/>
        <v>0</v>
      </c>
      <c r="K32" s="223"/>
      <c r="L32" s="125"/>
      <c r="M32" s="230">
        <v>850</v>
      </c>
      <c r="N32" s="233">
        <v>1.1870000000000001</v>
      </c>
      <c r="O32" s="226">
        <f t="shared" si="14"/>
        <v>0</v>
      </c>
      <c r="P32" s="223"/>
      <c r="Q32" s="5"/>
      <c r="R32" s="154">
        <v>900</v>
      </c>
      <c r="S32" s="219">
        <v>4.2140000000000004</v>
      </c>
      <c r="T32" s="226">
        <f t="shared" si="15"/>
        <v>0</v>
      </c>
      <c r="U32" s="223"/>
      <c r="V32" s="237"/>
      <c r="W32" s="224">
        <v>850</v>
      </c>
      <c r="X32" s="225">
        <v>2.1819999999999999</v>
      </c>
      <c r="Y32" s="226">
        <f t="shared" si="16"/>
        <v>0</v>
      </c>
      <c r="Z32" s="223"/>
      <c r="AA32" s="232"/>
      <c r="AB32" s="230">
        <v>850</v>
      </c>
      <c r="AC32" s="231">
        <v>14.77</v>
      </c>
      <c r="AD32" s="229">
        <f t="shared" si="17"/>
        <v>0</v>
      </c>
      <c r="AE32" s="223"/>
      <c r="AF32" s="125"/>
      <c r="AG32" s="230">
        <v>850</v>
      </c>
      <c r="AH32" s="233">
        <v>1.1870000000000001</v>
      </c>
      <c r="AI32" s="226">
        <f t="shared" si="18"/>
        <v>0</v>
      </c>
      <c r="AJ32" s="223"/>
      <c r="AK32" s="5"/>
      <c r="AL32" s="154">
        <v>850</v>
      </c>
      <c r="AM32" s="219">
        <v>1.151</v>
      </c>
      <c r="AN32" s="226">
        <f t="shared" si="19"/>
        <v>0</v>
      </c>
      <c r="AO32" s="223"/>
      <c r="AQ32" s="224">
        <v>850</v>
      </c>
      <c r="AR32" s="225">
        <v>2.1819999999999999</v>
      </c>
      <c r="AS32" s="226">
        <f t="shared" si="20"/>
        <v>0</v>
      </c>
      <c r="AT32" s="223"/>
      <c r="AU32" s="232"/>
      <c r="AV32" s="230">
        <v>850</v>
      </c>
      <c r="AW32" s="231">
        <v>14.77</v>
      </c>
      <c r="AX32" s="229">
        <f t="shared" si="21"/>
        <v>0</v>
      </c>
      <c r="AY32" s="223"/>
      <c r="AZ32" s="125"/>
      <c r="BA32" s="230">
        <v>850</v>
      </c>
      <c r="BB32" s="233">
        <v>1.1870000000000001</v>
      </c>
      <c r="BC32" s="226">
        <f t="shared" si="22"/>
        <v>0</v>
      </c>
      <c r="BD32" s="223"/>
      <c r="BE32" s="5"/>
      <c r="BF32" s="154">
        <v>900</v>
      </c>
      <c r="BG32" s="219">
        <v>4.2140000000000004</v>
      </c>
      <c r="BH32" s="226">
        <f t="shared" si="23"/>
        <v>0</v>
      </c>
      <c r="BI32" s="223"/>
      <c r="BK32" s="224">
        <v>850</v>
      </c>
      <c r="BL32" s="225">
        <v>2.1819999999999999</v>
      </c>
      <c r="BM32" s="226">
        <f t="shared" si="24"/>
        <v>0</v>
      </c>
      <c r="BN32" s="223"/>
      <c r="BO32" s="232"/>
      <c r="BP32" s="230">
        <v>850</v>
      </c>
      <c r="BQ32" s="231">
        <v>14.77</v>
      </c>
      <c r="BR32" s="229">
        <f t="shared" si="25"/>
        <v>0</v>
      </c>
      <c r="BS32" s="223"/>
      <c r="BT32" s="125"/>
      <c r="BU32" s="230">
        <v>850</v>
      </c>
      <c r="BV32" s="233">
        <v>1.1870000000000001</v>
      </c>
      <c r="BW32" s="226">
        <f t="shared" si="26"/>
        <v>0</v>
      </c>
      <c r="BX32" s="223"/>
      <c r="BY32" s="5"/>
      <c r="BZ32" s="154">
        <v>850</v>
      </c>
      <c r="CA32" s="219">
        <v>1.151</v>
      </c>
      <c r="CB32" s="226">
        <f t="shared" si="27"/>
        <v>0</v>
      </c>
      <c r="CC32" s="223"/>
      <c r="CE32" s="224">
        <v>850</v>
      </c>
      <c r="CF32" s="225">
        <v>2.1819999999999999</v>
      </c>
      <c r="CG32" s="226">
        <f t="shared" si="28"/>
        <v>0</v>
      </c>
      <c r="CH32" s="223"/>
      <c r="CI32" s="232"/>
      <c r="CJ32" s="230">
        <v>850</v>
      </c>
      <c r="CK32" s="231">
        <v>14.77</v>
      </c>
      <c r="CL32" s="229">
        <f t="shared" si="29"/>
        <v>0</v>
      </c>
      <c r="CM32" s="223"/>
      <c r="CN32" s="125"/>
      <c r="CO32" s="230">
        <v>850</v>
      </c>
      <c r="CP32" s="233">
        <v>1.1870000000000001</v>
      </c>
      <c r="CQ32" s="226">
        <f t="shared" si="30"/>
        <v>0</v>
      </c>
      <c r="CR32" s="223"/>
      <c r="CT32" s="154">
        <v>850</v>
      </c>
      <c r="CU32" s="219">
        <v>1.151</v>
      </c>
      <c r="CV32" s="226">
        <f t="shared" si="31"/>
        <v>0</v>
      </c>
      <c r="CW32" s="223"/>
      <c r="CY32" s="224">
        <v>850</v>
      </c>
      <c r="CZ32" s="225">
        <v>2.1819999999999999</v>
      </c>
      <c r="DA32" s="226">
        <f t="shared" si="32"/>
        <v>0</v>
      </c>
      <c r="DB32" s="223"/>
      <c r="DC32" s="232"/>
      <c r="DD32" s="230">
        <v>850</v>
      </c>
      <c r="DE32" s="231">
        <v>14.77</v>
      </c>
      <c r="DF32" s="229">
        <f t="shared" si="33"/>
        <v>0</v>
      </c>
      <c r="DG32" s="223"/>
      <c r="DH32" s="125"/>
      <c r="DI32" s="230">
        <v>850</v>
      </c>
      <c r="DJ32" s="233">
        <v>1.1870000000000001</v>
      </c>
      <c r="DK32" s="226">
        <f t="shared" si="34"/>
        <v>0</v>
      </c>
      <c r="DL32" s="223"/>
      <c r="DN32" s="154">
        <v>850</v>
      </c>
      <c r="DO32" s="219">
        <v>1.151</v>
      </c>
      <c r="DP32" s="226">
        <f t="shared" si="35"/>
        <v>0</v>
      </c>
      <c r="DQ32" s="223"/>
      <c r="DS32" s="224">
        <v>850</v>
      </c>
      <c r="DT32" s="225">
        <v>2.1819999999999999</v>
      </c>
      <c r="DU32" s="226">
        <f t="shared" si="36"/>
        <v>0</v>
      </c>
      <c r="DV32" s="223"/>
      <c r="DW32" s="232"/>
      <c r="DX32" s="230">
        <v>850</v>
      </c>
      <c r="DY32" s="231">
        <v>14.77</v>
      </c>
      <c r="DZ32" s="229">
        <f t="shared" si="37"/>
        <v>0</v>
      </c>
      <c r="EA32" s="223"/>
      <c r="EB32" s="125"/>
      <c r="EC32" s="230">
        <v>850</v>
      </c>
      <c r="ED32" s="233">
        <v>1.1870000000000001</v>
      </c>
      <c r="EE32" s="226">
        <f t="shared" si="38"/>
        <v>0</v>
      </c>
      <c r="EF32" s="223"/>
      <c r="EH32" s="154">
        <v>850</v>
      </c>
      <c r="EI32" s="219">
        <v>1.151</v>
      </c>
      <c r="EJ32" s="226">
        <f t="shared" si="39"/>
        <v>0</v>
      </c>
      <c r="EK32" s="223"/>
      <c r="EM32" s="230">
        <v>850</v>
      </c>
      <c r="EN32" s="233">
        <v>1.1870000000000001</v>
      </c>
      <c r="EO32" s="226">
        <f t="shared" si="40"/>
        <v>0</v>
      </c>
      <c r="EP32" s="223"/>
      <c r="EQ32" s="232"/>
      <c r="ER32" s="224"/>
      <c r="ES32" s="224"/>
      <c r="ET32" s="389"/>
      <c r="EU32" s="5"/>
      <c r="EV32" s="125"/>
      <c r="EW32" s="230">
        <v>850</v>
      </c>
      <c r="EX32" s="233">
        <v>1.1870000000000001</v>
      </c>
      <c r="EY32" s="226">
        <f t="shared" si="41"/>
        <v>0</v>
      </c>
      <c r="EZ32" s="223"/>
      <c r="FA32" s="232"/>
      <c r="FB32" s="224"/>
      <c r="FC32" s="224"/>
      <c r="FD32" s="389"/>
      <c r="FE32" s="5"/>
      <c r="FG32" s="224">
        <v>850</v>
      </c>
      <c r="FH32" s="225">
        <v>2.1819999999999999</v>
      </c>
      <c r="FI32" s="226">
        <f t="shared" si="42"/>
        <v>0</v>
      </c>
      <c r="FJ32" s="223"/>
      <c r="FK32" s="232"/>
      <c r="FL32" s="230">
        <v>850</v>
      </c>
      <c r="FM32" s="231">
        <v>14.77</v>
      </c>
      <c r="FN32" s="229">
        <f t="shared" si="43"/>
        <v>0</v>
      </c>
      <c r="FO32" s="223"/>
      <c r="FP32" s="125"/>
      <c r="FQ32" s="230">
        <v>850</v>
      </c>
      <c r="FR32" s="233">
        <v>1.1870000000000001</v>
      </c>
      <c r="FS32" s="226">
        <f t="shared" si="44"/>
        <v>0</v>
      </c>
      <c r="FT32" s="223"/>
      <c r="FV32" s="154">
        <v>850</v>
      </c>
      <c r="FW32" s="219">
        <v>1.151</v>
      </c>
      <c r="FX32" s="226">
        <f t="shared" si="45"/>
        <v>0</v>
      </c>
      <c r="FY32" s="223"/>
      <c r="GA32" s="224">
        <v>850</v>
      </c>
      <c r="GB32" s="225">
        <v>2.1819999999999999</v>
      </c>
      <c r="GC32" s="226">
        <f t="shared" si="46"/>
        <v>0</v>
      </c>
      <c r="GD32" s="223"/>
      <c r="GE32" s="232"/>
      <c r="GF32" s="230">
        <v>850</v>
      </c>
      <c r="GG32" s="231">
        <v>14.77</v>
      </c>
      <c r="GH32" s="229">
        <f t="shared" si="47"/>
        <v>0</v>
      </c>
      <c r="GI32" s="223"/>
      <c r="GJ32" s="125"/>
      <c r="GK32" s="230">
        <v>850</v>
      </c>
      <c r="GL32" s="233">
        <v>1.1870000000000001</v>
      </c>
      <c r="GM32" s="226">
        <f t="shared" si="48"/>
        <v>0</v>
      </c>
      <c r="GN32" s="223"/>
      <c r="GP32" s="154">
        <v>850</v>
      </c>
      <c r="GQ32" s="219">
        <v>1.151</v>
      </c>
      <c r="GR32" s="226">
        <f t="shared" si="49"/>
        <v>0</v>
      </c>
      <c r="GS32" s="223"/>
      <c r="GU32" s="224">
        <v>850</v>
      </c>
      <c r="GV32" s="225">
        <v>2.1819999999999999</v>
      </c>
      <c r="GW32" s="226">
        <f t="shared" si="50"/>
        <v>0</v>
      </c>
      <c r="GX32" s="223"/>
      <c r="GY32" s="232"/>
      <c r="GZ32" s="230">
        <v>850</v>
      </c>
      <c r="HA32" s="231">
        <v>14.77</v>
      </c>
      <c r="HB32" s="229">
        <f t="shared" si="51"/>
        <v>0</v>
      </c>
      <c r="HC32" s="223"/>
      <c r="HD32" s="125"/>
      <c r="HE32" s="230">
        <v>850</v>
      </c>
      <c r="HF32" s="233">
        <v>1.1870000000000001</v>
      </c>
      <c r="HG32" s="226">
        <f t="shared" si="52"/>
        <v>0</v>
      </c>
      <c r="HH32" s="223"/>
      <c r="HI32" s="5"/>
      <c r="HJ32" s="154">
        <v>900</v>
      </c>
      <c r="HK32" s="219">
        <v>4.2140000000000004</v>
      </c>
      <c r="HL32" s="226">
        <f t="shared" si="53"/>
        <v>0</v>
      </c>
      <c r="HM32" s="223"/>
      <c r="HO32" s="224">
        <v>850</v>
      </c>
      <c r="HP32" s="225">
        <v>2.1819999999999999</v>
      </c>
      <c r="HQ32" s="226">
        <f t="shared" si="54"/>
        <v>0</v>
      </c>
      <c r="HR32" s="223"/>
      <c r="HS32" s="232"/>
      <c r="HT32" s="230">
        <v>850</v>
      </c>
      <c r="HU32" s="231">
        <v>14.77</v>
      </c>
      <c r="HV32" s="229">
        <f t="shared" si="55"/>
        <v>0</v>
      </c>
      <c r="HW32" s="223"/>
      <c r="HX32" s="125"/>
      <c r="HY32" s="230">
        <v>850</v>
      </c>
      <c r="HZ32" s="233">
        <v>1.1870000000000001</v>
      </c>
      <c r="IA32" s="226">
        <f t="shared" si="56"/>
        <v>0</v>
      </c>
      <c r="IB32" s="223"/>
      <c r="IC32" s="5"/>
      <c r="ID32" s="154">
        <v>900</v>
      </c>
      <c r="IE32" s="219">
        <v>4.2140000000000004</v>
      </c>
      <c r="IF32" s="226">
        <f t="shared" si="57"/>
        <v>0</v>
      </c>
      <c r="IG32" s="223"/>
      <c r="II32" s="224">
        <v>850</v>
      </c>
      <c r="IJ32" s="225">
        <v>2.1819999999999999</v>
      </c>
      <c r="IK32" s="226">
        <f t="shared" si="58"/>
        <v>0</v>
      </c>
      <c r="IL32" s="223"/>
      <c r="IM32" s="232"/>
      <c r="IN32" s="230">
        <v>850</v>
      </c>
      <c r="IO32" s="231">
        <v>14.77</v>
      </c>
      <c r="IP32" s="229">
        <f t="shared" si="59"/>
        <v>0</v>
      </c>
      <c r="IQ32" s="223"/>
      <c r="IR32" s="125"/>
      <c r="IS32" s="230">
        <v>850</v>
      </c>
      <c r="IT32" s="233">
        <v>1.1870000000000001</v>
      </c>
      <c r="IU32" s="226">
        <f t="shared" si="60"/>
        <v>0</v>
      </c>
      <c r="IV32" s="223"/>
      <c r="IW32" s="5"/>
      <c r="IX32" s="154">
        <v>900</v>
      </c>
      <c r="IY32" s="219">
        <v>4.2140000000000004</v>
      </c>
      <c r="IZ32" s="226">
        <f t="shared" si="61"/>
        <v>0</v>
      </c>
      <c r="JA32" s="223"/>
      <c r="JC32" s="224">
        <v>850</v>
      </c>
      <c r="JD32" s="225">
        <v>2.1819999999999999</v>
      </c>
      <c r="JE32" s="226">
        <f t="shared" si="62"/>
        <v>0</v>
      </c>
      <c r="JF32" s="223"/>
      <c r="JG32" s="232"/>
      <c r="JH32" s="230">
        <v>850</v>
      </c>
      <c r="JI32" s="231">
        <v>14.77</v>
      </c>
      <c r="JJ32" s="229">
        <f t="shared" si="63"/>
        <v>0</v>
      </c>
      <c r="JK32" s="223"/>
      <c r="JL32" s="125"/>
      <c r="JM32" s="230">
        <v>850</v>
      </c>
      <c r="JN32" s="233">
        <v>1.1870000000000001</v>
      </c>
      <c r="JO32" s="226">
        <f t="shared" si="64"/>
        <v>0</v>
      </c>
      <c r="JP32" s="223"/>
      <c r="JQ32" s="5"/>
      <c r="JR32" s="154">
        <v>900</v>
      </c>
      <c r="JS32" s="219">
        <v>4.2140000000000004</v>
      </c>
      <c r="JT32" s="226">
        <f t="shared" si="65"/>
        <v>0</v>
      </c>
      <c r="JU32" s="223"/>
      <c r="JW32" s="224">
        <v>850</v>
      </c>
      <c r="JX32" s="225">
        <v>2.1819999999999999</v>
      </c>
      <c r="JY32" s="226">
        <f t="shared" si="0"/>
        <v>0</v>
      </c>
      <c r="JZ32" s="223"/>
      <c r="KA32" s="232"/>
      <c r="KB32" s="230">
        <v>850</v>
      </c>
      <c r="KC32" s="231">
        <v>14.77</v>
      </c>
      <c r="KD32" s="229">
        <f t="shared" si="1"/>
        <v>0</v>
      </c>
      <c r="KE32" s="223"/>
      <c r="KF32" s="125"/>
      <c r="KG32" s="230">
        <v>850</v>
      </c>
      <c r="KH32" s="233">
        <v>1.1870000000000001</v>
      </c>
      <c r="KI32" s="226">
        <f t="shared" si="2"/>
        <v>0</v>
      </c>
      <c r="KJ32" s="223"/>
      <c r="KK32" s="5"/>
      <c r="KL32" s="154">
        <v>900</v>
      </c>
      <c r="KM32" s="219">
        <v>4.2140000000000004</v>
      </c>
      <c r="KN32" s="226">
        <f t="shared" si="3"/>
        <v>0</v>
      </c>
      <c r="KO32" s="223"/>
      <c r="KQ32" s="224">
        <v>850</v>
      </c>
      <c r="KR32" s="225">
        <v>2.1819999999999999</v>
      </c>
      <c r="KS32" s="226">
        <f t="shared" si="4"/>
        <v>0</v>
      </c>
      <c r="KT32" s="223"/>
      <c r="KU32" s="232"/>
      <c r="KV32" s="230">
        <v>850</v>
      </c>
      <c r="KW32" s="231">
        <v>14.77</v>
      </c>
      <c r="KX32" s="229">
        <f t="shared" si="5"/>
        <v>0</v>
      </c>
      <c r="KY32" s="223"/>
      <c r="KZ32" s="125"/>
      <c r="LA32" s="230">
        <v>850</v>
      </c>
      <c r="LB32" s="233">
        <v>1.1870000000000001</v>
      </c>
      <c r="LC32" s="226">
        <f t="shared" si="6"/>
        <v>0</v>
      </c>
      <c r="LD32" s="223"/>
      <c r="LE32" s="5"/>
      <c r="LF32" s="154">
        <v>900</v>
      </c>
      <c r="LG32" s="219">
        <v>4.2140000000000004</v>
      </c>
      <c r="LH32" s="226">
        <f t="shared" si="7"/>
        <v>0</v>
      </c>
      <c r="LI32" s="223"/>
      <c r="LK32" s="224">
        <v>850</v>
      </c>
      <c r="LL32" s="225">
        <v>2.1819999999999999</v>
      </c>
      <c r="LM32" s="226" t="e">
        <f t="shared" si="8"/>
        <v>#REF!</v>
      </c>
      <c r="LN32" s="223"/>
      <c r="LO32" s="232"/>
      <c r="LP32" s="230">
        <v>850</v>
      </c>
      <c r="LQ32" s="231">
        <v>14.77</v>
      </c>
      <c r="LR32" s="229" t="e">
        <f t="shared" si="9"/>
        <v>#REF!</v>
      </c>
      <c r="LS32" s="223"/>
      <c r="LT32" s="125"/>
      <c r="LU32" s="230">
        <v>850</v>
      </c>
      <c r="LV32" s="233">
        <v>1.1870000000000001</v>
      </c>
      <c r="LW32" s="226" t="e">
        <f t="shared" si="10"/>
        <v>#REF!</v>
      </c>
      <c r="LX32" s="223"/>
      <c r="LY32" s="5"/>
      <c r="LZ32" s="154">
        <v>900</v>
      </c>
      <c r="MA32" s="219">
        <v>4.2140000000000004</v>
      </c>
      <c r="MB32" s="226" t="e">
        <f t="shared" si="11"/>
        <v>#REF!</v>
      </c>
      <c r="MC32" s="223"/>
    </row>
    <row r="33" spans="2:341" ht="16" thickBot="1" x14ac:dyDescent="0.25">
      <c r="B33" s="232"/>
      <c r="C33" s="224">
        <v>900</v>
      </c>
      <c r="D33" s="225">
        <v>2.2170000000000001</v>
      </c>
      <c r="E33" s="226">
        <f t="shared" si="12"/>
        <v>0</v>
      </c>
      <c r="F33" s="223"/>
      <c r="G33" s="232"/>
      <c r="H33" s="230">
        <v>900</v>
      </c>
      <c r="I33" s="231">
        <v>14.83</v>
      </c>
      <c r="J33" s="229">
        <f t="shared" si="13"/>
        <v>0</v>
      </c>
      <c r="K33" s="223"/>
      <c r="L33" s="125"/>
      <c r="M33" s="230">
        <v>900</v>
      </c>
      <c r="N33" s="233">
        <v>1.204</v>
      </c>
      <c r="O33" s="226">
        <f t="shared" si="14"/>
        <v>0</v>
      </c>
      <c r="P33" s="223"/>
      <c r="Q33" s="5"/>
      <c r="R33" s="154">
        <v>950</v>
      </c>
      <c r="S33" s="219">
        <v>4.3479999999999999</v>
      </c>
      <c r="T33" s="226">
        <f t="shared" si="15"/>
        <v>0</v>
      </c>
      <c r="U33" s="223"/>
      <c r="V33" s="237"/>
      <c r="W33" s="224">
        <v>900</v>
      </c>
      <c r="X33" s="225">
        <v>2.2170000000000001</v>
      </c>
      <c r="Y33" s="226">
        <f t="shared" si="16"/>
        <v>0</v>
      </c>
      <c r="Z33" s="223"/>
      <c r="AA33" s="232"/>
      <c r="AB33" s="230">
        <v>900</v>
      </c>
      <c r="AC33" s="231">
        <v>14.83</v>
      </c>
      <c r="AD33" s="229">
        <f t="shared" si="17"/>
        <v>0</v>
      </c>
      <c r="AE33" s="223"/>
      <c r="AF33" s="125"/>
      <c r="AG33" s="230">
        <v>900</v>
      </c>
      <c r="AH33" s="233">
        <v>1.204</v>
      </c>
      <c r="AI33" s="226">
        <f t="shared" si="18"/>
        <v>0</v>
      </c>
      <c r="AJ33" s="223"/>
      <c r="AK33" s="5"/>
      <c r="AL33" s="154">
        <v>900</v>
      </c>
      <c r="AM33" s="219">
        <v>1.163</v>
      </c>
      <c r="AN33" s="226">
        <f t="shared" si="19"/>
        <v>0</v>
      </c>
      <c r="AO33" s="223"/>
      <c r="AQ33" s="224">
        <v>900</v>
      </c>
      <c r="AR33" s="225">
        <v>2.2170000000000001</v>
      </c>
      <c r="AS33" s="226">
        <f t="shared" si="20"/>
        <v>0</v>
      </c>
      <c r="AT33" s="223"/>
      <c r="AU33" s="232"/>
      <c r="AV33" s="230">
        <v>900</v>
      </c>
      <c r="AW33" s="231">
        <v>14.83</v>
      </c>
      <c r="AX33" s="229">
        <f t="shared" si="21"/>
        <v>0</v>
      </c>
      <c r="AY33" s="223"/>
      <c r="AZ33" s="125"/>
      <c r="BA33" s="230">
        <v>900</v>
      </c>
      <c r="BB33" s="233">
        <v>1.204</v>
      </c>
      <c r="BC33" s="226">
        <f t="shared" si="22"/>
        <v>0</v>
      </c>
      <c r="BD33" s="223"/>
      <c r="BE33" s="5"/>
      <c r="BF33" s="154">
        <v>950</v>
      </c>
      <c r="BG33" s="219">
        <v>4.3479999999999999</v>
      </c>
      <c r="BH33" s="226">
        <f t="shared" si="23"/>
        <v>0</v>
      </c>
      <c r="BI33" s="223"/>
      <c r="BK33" s="224">
        <v>900</v>
      </c>
      <c r="BL33" s="225">
        <v>2.2170000000000001</v>
      </c>
      <c r="BM33" s="226">
        <f t="shared" si="24"/>
        <v>0</v>
      </c>
      <c r="BN33" s="223"/>
      <c r="BO33" s="232"/>
      <c r="BP33" s="230">
        <v>900</v>
      </c>
      <c r="BQ33" s="231">
        <v>14.83</v>
      </c>
      <c r="BR33" s="229">
        <f t="shared" si="25"/>
        <v>0</v>
      </c>
      <c r="BS33" s="223"/>
      <c r="BT33" s="125"/>
      <c r="BU33" s="230">
        <v>900</v>
      </c>
      <c r="BV33" s="233">
        <v>1.204</v>
      </c>
      <c r="BW33" s="226">
        <f t="shared" si="26"/>
        <v>0</v>
      </c>
      <c r="BX33" s="223"/>
      <c r="BY33" s="5"/>
      <c r="BZ33" s="154">
        <v>900</v>
      </c>
      <c r="CA33" s="219">
        <v>1.163</v>
      </c>
      <c r="CB33" s="226">
        <f t="shared" si="27"/>
        <v>0</v>
      </c>
      <c r="CC33" s="223"/>
      <c r="CE33" s="224">
        <v>900</v>
      </c>
      <c r="CF33" s="225">
        <v>2.2170000000000001</v>
      </c>
      <c r="CG33" s="226">
        <f t="shared" si="28"/>
        <v>0</v>
      </c>
      <c r="CH33" s="223"/>
      <c r="CI33" s="232"/>
      <c r="CJ33" s="230">
        <v>900</v>
      </c>
      <c r="CK33" s="231">
        <v>14.83</v>
      </c>
      <c r="CL33" s="229">
        <f t="shared" si="29"/>
        <v>0</v>
      </c>
      <c r="CM33" s="223"/>
      <c r="CN33" s="125"/>
      <c r="CO33" s="230">
        <v>900</v>
      </c>
      <c r="CP33" s="233">
        <v>1.204</v>
      </c>
      <c r="CQ33" s="226">
        <f t="shared" si="30"/>
        <v>0</v>
      </c>
      <c r="CR33" s="223"/>
      <c r="CT33" s="154">
        <v>900</v>
      </c>
      <c r="CU33" s="219">
        <v>1.163</v>
      </c>
      <c r="CV33" s="226">
        <f t="shared" si="31"/>
        <v>0</v>
      </c>
      <c r="CW33" s="223"/>
      <c r="CY33" s="224">
        <v>900</v>
      </c>
      <c r="CZ33" s="225">
        <v>2.2170000000000001</v>
      </c>
      <c r="DA33" s="226">
        <f t="shared" si="32"/>
        <v>0</v>
      </c>
      <c r="DB33" s="223"/>
      <c r="DC33" s="232"/>
      <c r="DD33" s="230">
        <v>900</v>
      </c>
      <c r="DE33" s="231">
        <v>14.83</v>
      </c>
      <c r="DF33" s="229">
        <f t="shared" si="33"/>
        <v>0</v>
      </c>
      <c r="DG33" s="223"/>
      <c r="DH33" s="125"/>
      <c r="DI33" s="230">
        <v>900</v>
      </c>
      <c r="DJ33" s="233">
        <v>1.204</v>
      </c>
      <c r="DK33" s="226">
        <f t="shared" si="34"/>
        <v>0</v>
      </c>
      <c r="DL33" s="223"/>
      <c r="DN33" s="154">
        <v>900</v>
      </c>
      <c r="DO33" s="219">
        <v>1.163</v>
      </c>
      <c r="DP33" s="226">
        <f t="shared" si="35"/>
        <v>0</v>
      </c>
      <c r="DQ33" s="223"/>
      <c r="DS33" s="224">
        <v>900</v>
      </c>
      <c r="DT33" s="225">
        <v>2.2170000000000001</v>
      </c>
      <c r="DU33" s="226">
        <f t="shared" si="36"/>
        <v>0</v>
      </c>
      <c r="DV33" s="223"/>
      <c r="DW33" s="232"/>
      <c r="DX33" s="230">
        <v>900</v>
      </c>
      <c r="DY33" s="231">
        <v>14.83</v>
      </c>
      <c r="DZ33" s="229">
        <f t="shared" si="37"/>
        <v>0</v>
      </c>
      <c r="EA33" s="223"/>
      <c r="EB33" s="125"/>
      <c r="EC33" s="230">
        <v>900</v>
      </c>
      <c r="ED33" s="233">
        <v>1.204</v>
      </c>
      <c r="EE33" s="226">
        <f t="shared" si="38"/>
        <v>0</v>
      </c>
      <c r="EF33" s="223"/>
      <c r="EH33" s="154">
        <v>900</v>
      </c>
      <c r="EI33" s="219">
        <v>1.163</v>
      </c>
      <c r="EJ33" s="226">
        <f t="shared" si="39"/>
        <v>0</v>
      </c>
      <c r="EK33" s="223"/>
      <c r="EM33" s="230">
        <v>900</v>
      </c>
      <c r="EN33" s="233">
        <v>1.204</v>
      </c>
      <c r="EO33" s="226">
        <f t="shared" si="40"/>
        <v>0</v>
      </c>
      <c r="EP33" s="223"/>
      <c r="EQ33" s="232"/>
      <c r="ER33" s="224"/>
      <c r="ES33" s="224"/>
      <c r="ET33" s="389"/>
      <c r="EU33" s="5"/>
      <c r="EV33" s="125"/>
      <c r="EW33" s="230">
        <v>900</v>
      </c>
      <c r="EX33" s="233">
        <v>1.204</v>
      </c>
      <c r="EY33" s="226">
        <f t="shared" si="41"/>
        <v>0</v>
      </c>
      <c r="EZ33" s="223"/>
      <c r="FA33" s="232"/>
      <c r="FB33" s="224"/>
      <c r="FC33" s="224"/>
      <c r="FD33" s="389"/>
      <c r="FE33" s="5"/>
      <c r="FG33" s="224">
        <v>900</v>
      </c>
      <c r="FH33" s="225">
        <v>2.2170000000000001</v>
      </c>
      <c r="FI33" s="226">
        <f t="shared" si="42"/>
        <v>0</v>
      </c>
      <c r="FJ33" s="223"/>
      <c r="FK33" s="232"/>
      <c r="FL33" s="230">
        <v>900</v>
      </c>
      <c r="FM33" s="231">
        <v>14.83</v>
      </c>
      <c r="FN33" s="229">
        <f t="shared" si="43"/>
        <v>0</v>
      </c>
      <c r="FO33" s="223"/>
      <c r="FP33" s="125"/>
      <c r="FQ33" s="230">
        <v>900</v>
      </c>
      <c r="FR33" s="233">
        <v>1.204</v>
      </c>
      <c r="FS33" s="226">
        <f t="shared" si="44"/>
        <v>0</v>
      </c>
      <c r="FT33" s="223"/>
      <c r="FV33" s="154">
        <v>900</v>
      </c>
      <c r="FW33" s="219">
        <v>1.163</v>
      </c>
      <c r="FX33" s="226">
        <f t="shared" si="45"/>
        <v>0</v>
      </c>
      <c r="FY33" s="223"/>
      <c r="GA33" s="224">
        <v>900</v>
      </c>
      <c r="GB33" s="225">
        <v>2.2170000000000001</v>
      </c>
      <c r="GC33" s="226">
        <f t="shared" si="46"/>
        <v>0</v>
      </c>
      <c r="GD33" s="223"/>
      <c r="GE33" s="232"/>
      <c r="GF33" s="230">
        <v>900</v>
      </c>
      <c r="GG33" s="231">
        <v>14.83</v>
      </c>
      <c r="GH33" s="229">
        <f t="shared" si="47"/>
        <v>0</v>
      </c>
      <c r="GI33" s="223"/>
      <c r="GJ33" s="125"/>
      <c r="GK33" s="230">
        <v>900</v>
      </c>
      <c r="GL33" s="233">
        <v>1.204</v>
      </c>
      <c r="GM33" s="226">
        <f t="shared" si="48"/>
        <v>0</v>
      </c>
      <c r="GN33" s="223"/>
      <c r="GP33" s="154">
        <v>900</v>
      </c>
      <c r="GQ33" s="219">
        <v>1.163</v>
      </c>
      <c r="GR33" s="226">
        <f t="shared" si="49"/>
        <v>0</v>
      </c>
      <c r="GS33" s="223"/>
      <c r="GU33" s="224">
        <v>900</v>
      </c>
      <c r="GV33" s="225">
        <v>2.2170000000000001</v>
      </c>
      <c r="GW33" s="226">
        <f t="shared" si="50"/>
        <v>0</v>
      </c>
      <c r="GX33" s="223"/>
      <c r="GY33" s="232"/>
      <c r="GZ33" s="230">
        <v>900</v>
      </c>
      <c r="HA33" s="231">
        <v>14.83</v>
      </c>
      <c r="HB33" s="229">
        <f t="shared" si="51"/>
        <v>0</v>
      </c>
      <c r="HC33" s="223"/>
      <c r="HD33" s="125"/>
      <c r="HE33" s="230">
        <v>900</v>
      </c>
      <c r="HF33" s="233">
        <v>1.204</v>
      </c>
      <c r="HG33" s="226">
        <f t="shared" si="52"/>
        <v>0</v>
      </c>
      <c r="HH33" s="223"/>
      <c r="HI33" s="5"/>
      <c r="HJ33" s="154">
        <v>950</v>
      </c>
      <c r="HK33" s="219">
        <v>4.3479999999999999</v>
      </c>
      <c r="HL33" s="226">
        <f t="shared" si="53"/>
        <v>0</v>
      </c>
      <c r="HM33" s="223"/>
      <c r="HO33" s="224">
        <v>900</v>
      </c>
      <c r="HP33" s="225">
        <v>2.2170000000000001</v>
      </c>
      <c r="HQ33" s="226">
        <f t="shared" si="54"/>
        <v>0</v>
      </c>
      <c r="HR33" s="223"/>
      <c r="HS33" s="232"/>
      <c r="HT33" s="230">
        <v>900</v>
      </c>
      <c r="HU33" s="231">
        <v>14.83</v>
      </c>
      <c r="HV33" s="229">
        <f t="shared" si="55"/>
        <v>0</v>
      </c>
      <c r="HW33" s="223"/>
      <c r="HX33" s="125"/>
      <c r="HY33" s="230">
        <v>900</v>
      </c>
      <c r="HZ33" s="233">
        <v>1.204</v>
      </c>
      <c r="IA33" s="226">
        <f t="shared" si="56"/>
        <v>0</v>
      </c>
      <c r="IB33" s="223"/>
      <c r="IC33" s="5"/>
      <c r="ID33" s="154">
        <v>950</v>
      </c>
      <c r="IE33" s="219">
        <v>4.3479999999999999</v>
      </c>
      <c r="IF33" s="226">
        <f t="shared" si="57"/>
        <v>0</v>
      </c>
      <c r="IG33" s="223"/>
      <c r="II33" s="224">
        <v>900</v>
      </c>
      <c r="IJ33" s="225">
        <v>2.2170000000000001</v>
      </c>
      <c r="IK33" s="226">
        <f t="shared" si="58"/>
        <v>0</v>
      </c>
      <c r="IL33" s="223"/>
      <c r="IM33" s="232"/>
      <c r="IN33" s="230">
        <v>900</v>
      </c>
      <c r="IO33" s="231">
        <v>14.83</v>
      </c>
      <c r="IP33" s="229">
        <f t="shared" si="59"/>
        <v>0</v>
      </c>
      <c r="IQ33" s="223"/>
      <c r="IR33" s="125"/>
      <c r="IS33" s="230">
        <v>900</v>
      </c>
      <c r="IT33" s="233">
        <v>1.204</v>
      </c>
      <c r="IU33" s="226">
        <f t="shared" si="60"/>
        <v>0</v>
      </c>
      <c r="IV33" s="223"/>
      <c r="IW33" s="5"/>
      <c r="IX33" s="154">
        <v>950</v>
      </c>
      <c r="IY33" s="219">
        <v>4.3479999999999999</v>
      </c>
      <c r="IZ33" s="226">
        <f t="shared" si="61"/>
        <v>0</v>
      </c>
      <c r="JA33" s="223"/>
      <c r="JC33" s="224">
        <v>900</v>
      </c>
      <c r="JD33" s="225">
        <v>2.2170000000000001</v>
      </c>
      <c r="JE33" s="226">
        <f t="shared" si="62"/>
        <v>0</v>
      </c>
      <c r="JF33" s="223"/>
      <c r="JG33" s="232"/>
      <c r="JH33" s="230">
        <v>900</v>
      </c>
      <c r="JI33" s="231">
        <v>14.83</v>
      </c>
      <c r="JJ33" s="229">
        <f t="shared" si="63"/>
        <v>0</v>
      </c>
      <c r="JK33" s="223"/>
      <c r="JL33" s="125"/>
      <c r="JM33" s="230">
        <v>900</v>
      </c>
      <c r="JN33" s="233">
        <v>1.204</v>
      </c>
      <c r="JO33" s="226">
        <f t="shared" si="64"/>
        <v>0</v>
      </c>
      <c r="JP33" s="223"/>
      <c r="JQ33" s="5"/>
      <c r="JR33" s="154">
        <v>950</v>
      </c>
      <c r="JS33" s="219">
        <v>4.3479999999999999</v>
      </c>
      <c r="JT33" s="226">
        <f t="shared" si="65"/>
        <v>0</v>
      </c>
      <c r="JU33" s="223"/>
      <c r="JW33" s="224">
        <v>900</v>
      </c>
      <c r="JX33" s="225">
        <v>2.2170000000000001</v>
      </c>
      <c r="JY33" s="226">
        <f t="shared" si="0"/>
        <v>0</v>
      </c>
      <c r="JZ33" s="223"/>
      <c r="KA33" s="232"/>
      <c r="KB33" s="230">
        <v>900</v>
      </c>
      <c r="KC33" s="231">
        <v>14.83</v>
      </c>
      <c r="KD33" s="229">
        <f t="shared" si="1"/>
        <v>0</v>
      </c>
      <c r="KE33" s="223"/>
      <c r="KF33" s="125"/>
      <c r="KG33" s="230">
        <v>900</v>
      </c>
      <c r="KH33" s="233">
        <v>1.204</v>
      </c>
      <c r="KI33" s="226">
        <f t="shared" si="2"/>
        <v>0</v>
      </c>
      <c r="KJ33" s="223"/>
      <c r="KK33" s="5"/>
      <c r="KL33" s="154">
        <v>950</v>
      </c>
      <c r="KM33" s="219">
        <v>4.3479999999999999</v>
      </c>
      <c r="KN33" s="226">
        <f t="shared" si="3"/>
        <v>0</v>
      </c>
      <c r="KO33" s="223"/>
      <c r="KQ33" s="224">
        <v>900</v>
      </c>
      <c r="KR33" s="225">
        <v>2.2170000000000001</v>
      </c>
      <c r="KS33" s="226">
        <f t="shared" si="4"/>
        <v>0</v>
      </c>
      <c r="KT33" s="223"/>
      <c r="KU33" s="232"/>
      <c r="KV33" s="230">
        <v>900</v>
      </c>
      <c r="KW33" s="231">
        <v>14.83</v>
      </c>
      <c r="KX33" s="229">
        <f t="shared" si="5"/>
        <v>0</v>
      </c>
      <c r="KY33" s="223"/>
      <c r="KZ33" s="125"/>
      <c r="LA33" s="230">
        <v>900</v>
      </c>
      <c r="LB33" s="233">
        <v>1.204</v>
      </c>
      <c r="LC33" s="226">
        <f t="shared" si="6"/>
        <v>0</v>
      </c>
      <c r="LD33" s="223"/>
      <c r="LE33" s="5"/>
      <c r="LF33" s="154">
        <v>950</v>
      </c>
      <c r="LG33" s="219">
        <v>4.3479999999999999</v>
      </c>
      <c r="LH33" s="226">
        <f t="shared" si="7"/>
        <v>0</v>
      </c>
      <c r="LI33" s="223"/>
      <c r="LK33" s="224">
        <v>900</v>
      </c>
      <c r="LL33" s="225">
        <v>2.2170000000000001</v>
      </c>
      <c r="LM33" s="226" t="e">
        <f t="shared" si="8"/>
        <v>#REF!</v>
      </c>
      <c r="LN33" s="223"/>
      <c r="LO33" s="232"/>
      <c r="LP33" s="230">
        <v>900</v>
      </c>
      <c r="LQ33" s="231">
        <v>14.83</v>
      </c>
      <c r="LR33" s="229" t="e">
        <f t="shared" si="9"/>
        <v>#REF!</v>
      </c>
      <c r="LS33" s="223"/>
      <c r="LT33" s="125"/>
      <c r="LU33" s="230">
        <v>900</v>
      </c>
      <c r="LV33" s="233">
        <v>1.204</v>
      </c>
      <c r="LW33" s="226" t="e">
        <f t="shared" si="10"/>
        <v>#REF!</v>
      </c>
      <c r="LX33" s="223"/>
      <c r="LY33" s="5"/>
      <c r="LZ33" s="154">
        <v>950</v>
      </c>
      <c r="MA33" s="219">
        <v>4.3479999999999999</v>
      </c>
      <c r="MB33" s="226" t="e">
        <f t="shared" si="11"/>
        <v>#REF!</v>
      </c>
      <c r="MC33" s="223"/>
    </row>
    <row r="34" spans="2:341" ht="16" thickBot="1" x14ac:dyDescent="0.25">
      <c r="B34" s="232"/>
      <c r="C34" s="224">
        <v>950</v>
      </c>
      <c r="D34" s="225">
        <v>2.2519999999999998</v>
      </c>
      <c r="E34" s="226">
        <f t="shared" si="12"/>
        <v>0</v>
      </c>
      <c r="F34" s="223"/>
      <c r="G34" s="232"/>
      <c r="H34" s="230">
        <v>950</v>
      </c>
      <c r="I34" s="231">
        <v>14.9</v>
      </c>
      <c r="J34" s="229">
        <f t="shared" si="13"/>
        <v>0</v>
      </c>
      <c r="K34" s="223"/>
      <c r="L34" s="125"/>
      <c r="M34" s="230">
        <v>950</v>
      </c>
      <c r="N34" s="233">
        <v>1.22</v>
      </c>
      <c r="O34" s="226">
        <f t="shared" si="14"/>
        <v>0</v>
      </c>
      <c r="P34" s="223"/>
      <c r="Q34" s="5"/>
      <c r="R34" s="154">
        <v>1000</v>
      </c>
      <c r="S34" s="219">
        <v>4.4749999999999996</v>
      </c>
      <c r="T34" s="226">
        <f t="shared" si="15"/>
        <v>0</v>
      </c>
      <c r="U34" s="223"/>
      <c r="V34" s="237"/>
      <c r="W34" s="224">
        <v>950</v>
      </c>
      <c r="X34" s="225">
        <v>2.2519999999999998</v>
      </c>
      <c r="Y34" s="226">
        <f t="shared" si="16"/>
        <v>0</v>
      </c>
      <c r="Z34" s="223"/>
      <c r="AA34" s="232"/>
      <c r="AB34" s="230">
        <v>950</v>
      </c>
      <c r="AC34" s="231">
        <v>14.9</v>
      </c>
      <c r="AD34" s="229">
        <f t="shared" si="17"/>
        <v>0</v>
      </c>
      <c r="AE34" s="223"/>
      <c r="AF34" s="125"/>
      <c r="AG34" s="230">
        <v>950</v>
      </c>
      <c r="AH34" s="233">
        <v>1.22</v>
      </c>
      <c r="AI34" s="226">
        <f t="shared" si="18"/>
        <v>0</v>
      </c>
      <c r="AJ34" s="223"/>
      <c r="AK34" s="5"/>
      <c r="AL34" s="154">
        <v>950</v>
      </c>
      <c r="AM34" s="219">
        <v>1.1739999999999999</v>
      </c>
      <c r="AN34" s="226">
        <f t="shared" si="19"/>
        <v>0</v>
      </c>
      <c r="AO34" s="223"/>
      <c r="AQ34" s="224">
        <v>950</v>
      </c>
      <c r="AR34" s="225">
        <v>2.2519999999999998</v>
      </c>
      <c r="AS34" s="226">
        <f t="shared" si="20"/>
        <v>0</v>
      </c>
      <c r="AT34" s="223"/>
      <c r="AU34" s="232"/>
      <c r="AV34" s="230">
        <v>950</v>
      </c>
      <c r="AW34" s="231">
        <v>14.9</v>
      </c>
      <c r="AX34" s="229">
        <f t="shared" si="21"/>
        <v>0</v>
      </c>
      <c r="AY34" s="223"/>
      <c r="AZ34" s="125"/>
      <c r="BA34" s="230">
        <v>950</v>
      </c>
      <c r="BB34" s="233">
        <v>1.22</v>
      </c>
      <c r="BC34" s="226">
        <f t="shared" si="22"/>
        <v>0</v>
      </c>
      <c r="BD34" s="223"/>
      <c r="BE34" s="5"/>
      <c r="BF34" s="154">
        <v>1000</v>
      </c>
      <c r="BG34" s="219">
        <v>4.4749999999999996</v>
      </c>
      <c r="BH34" s="226">
        <f t="shared" si="23"/>
        <v>0</v>
      </c>
      <c r="BI34" s="223"/>
      <c r="BK34" s="224">
        <v>950</v>
      </c>
      <c r="BL34" s="225">
        <v>2.2519999999999998</v>
      </c>
      <c r="BM34" s="226">
        <f t="shared" si="24"/>
        <v>0</v>
      </c>
      <c r="BN34" s="223"/>
      <c r="BO34" s="232"/>
      <c r="BP34" s="230">
        <v>950</v>
      </c>
      <c r="BQ34" s="231">
        <v>14.9</v>
      </c>
      <c r="BR34" s="229">
        <f t="shared" si="25"/>
        <v>0</v>
      </c>
      <c r="BS34" s="223"/>
      <c r="BT34" s="125"/>
      <c r="BU34" s="230">
        <v>950</v>
      </c>
      <c r="BV34" s="233">
        <v>1.22</v>
      </c>
      <c r="BW34" s="226">
        <f t="shared" si="26"/>
        <v>0</v>
      </c>
      <c r="BX34" s="223"/>
      <c r="BY34" s="5"/>
      <c r="BZ34" s="154">
        <v>950</v>
      </c>
      <c r="CA34" s="219">
        <v>1.1739999999999999</v>
      </c>
      <c r="CB34" s="226">
        <f t="shared" si="27"/>
        <v>0</v>
      </c>
      <c r="CC34" s="223"/>
      <c r="CE34" s="224">
        <v>950</v>
      </c>
      <c r="CF34" s="225">
        <v>2.2519999999999998</v>
      </c>
      <c r="CG34" s="226">
        <f t="shared" si="28"/>
        <v>0</v>
      </c>
      <c r="CH34" s="223"/>
      <c r="CI34" s="232"/>
      <c r="CJ34" s="230">
        <v>950</v>
      </c>
      <c r="CK34" s="231">
        <v>14.9</v>
      </c>
      <c r="CL34" s="229">
        <f t="shared" si="29"/>
        <v>0</v>
      </c>
      <c r="CM34" s="223"/>
      <c r="CN34" s="125"/>
      <c r="CO34" s="230">
        <v>950</v>
      </c>
      <c r="CP34" s="233">
        <v>1.22</v>
      </c>
      <c r="CQ34" s="226">
        <f t="shared" si="30"/>
        <v>0</v>
      </c>
      <c r="CR34" s="223"/>
      <c r="CT34" s="154">
        <v>950</v>
      </c>
      <c r="CU34" s="219">
        <v>1.1739999999999999</v>
      </c>
      <c r="CV34" s="226">
        <f t="shared" si="31"/>
        <v>0</v>
      </c>
      <c r="CW34" s="223"/>
      <c r="CY34" s="224">
        <v>950</v>
      </c>
      <c r="CZ34" s="225">
        <v>2.2519999999999998</v>
      </c>
      <c r="DA34" s="226">
        <f t="shared" si="32"/>
        <v>2.2712126632606133</v>
      </c>
      <c r="DB34" s="223"/>
      <c r="DC34" s="232"/>
      <c r="DD34" s="230">
        <v>950</v>
      </c>
      <c r="DE34" s="231">
        <v>14.9</v>
      </c>
      <c r="DF34" s="229">
        <f t="shared" si="33"/>
        <v>14.942694807245809</v>
      </c>
      <c r="DG34" s="223"/>
      <c r="DH34" s="125"/>
      <c r="DI34" s="230">
        <v>950</v>
      </c>
      <c r="DJ34" s="233">
        <v>1.22</v>
      </c>
      <c r="DK34" s="226">
        <f t="shared" si="34"/>
        <v>1.2274715912680163</v>
      </c>
      <c r="DL34" s="223"/>
      <c r="DN34" s="154">
        <v>950</v>
      </c>
      <c r="DO34" s="219">
        <v>1.1739999999999999</v>
      </c>
      <c r="DP34" s="226">
        <f t="shared" si="35"/>
        <v>1.1798705359962987</v>
      </c>
      <c r="DQ34" s="223"/>
      <c r="DS34" s="224">
        <v>950</v>
      </c>
      <c r="DT34" s="225">
        <v>2.2519999999999998</v>
      </c>
      <c r="DU34" s="226">
        <f t="shared" si="36"/>
        <v>0</v>
      </c>
      <c r="DV34" s="223"/>
      <c r="DW34" s="232"/>
      <c r="DX34" s="230">
        <v>950</v>
      </c>
      <c r="DY34" s="231">
        <v>14.9</v>
      </c>
      <c r="DZ34" s="229">
        <f t="shared" si="37"/>
        <v>0</v>
      </c>
      <c r="EA34" s="223"/>
      <c r="EB34" s="125"/>
      <c r="EC34" s="230">
        <v>950</v>
      </c>
      <c r="ED34" s="233">
        <v>1.22</v>
      </c>
      <c r="EE34" s="226">
        <f t="shared" si="38"/>
        <v>0</v>
      </c>
      <c r="EF34" s="223"/>
      <c r="EH34" s="154">
        <v>950</v>
      </c>
      <c r="EI34" s="219">
        <v>1.1739999999999999</v>
      </c>
      <c r="EJ34" s="226">
        <f t="shared" si="39"/>
        <v>0</v>
      </c>
      <c r="EK34" s="223"/>
      <c r="EM34" s="230">
        <v>950</v>
      </c>
      <c r="EN34" s="233">
        <v>1.22</v>
      </c>
      <c r="EO34" s="226">
        <f t="shared" si="40"/>
        <v>0</v>
      </c>
      <c r="EP34" s="223"/>
      <c r="EQ34" s="232"/>
      <c r="ER34" s="224"/>
      <c r="ES34" s="224"/>
      <c r="ET34" s="389"/>
      <c r="EU34" s="5"/>
      <c r="EV34" s="125"/>
      <c r="EW34" s="230">
        <v>950</v>
      </c>
      <c r="EX34" s="233">
        <v>1.22</v>
      </c>
      <c r="EY34" s="226">
        <f t="shared" si="41"/>
        <v>0</v>
      </c>
      <c r="EZ34" s="223"/>
      <c r="FA34" s="232"/>
      <c r="FB34" s="224"/>
      <c r="FC34" s="224"/>
      <c r="FD34" s="389"/>
      <c r="FE34" s="5"/>
      <c r="FG34" s="224">
        <v>950</v>
      </c>
      <c r="FH34" s="225">
        <v>2.2519999999999998</v>
      </c>
      <c r="FI34" s="226">
        <f t="shared" si="42"/>
        <v>0</v>
      </c>
      <c r="FJ34" s="223"/>
      <c r="FK34" s="232"/>
      <c r="FL34" s="230">
        <v>950</v>
      </c>
      <c r="FM34" s="231">
        <v>14.9</v>
      </c>
      <c r="FN34" s="229">
        <f t="shared" si="43"/>
        <v>0</v>
      </c>
      <c r="FO34" s="223"/>
      <c r="FP34" s="125"/>
      <c r="FQ34" s="230">
        <v>950</v>
      </c>
      <c r="FR34" s="233">
        <v>1.22</v>
      </c>
      <c r="FS34" s="226">
        <f t="shared" si="44"/>
        <v>0</v>
      </c>
      <c r="FT34" s="223"/>
      <c r="FV34" s="154">
        <v>950</v>
      </c>
      <c r="FW34" s="219">
        <v>1.1739999999999999</v>
      </c>
      <c r="FX34" s="226">
        <f t="shared" si="45"/>
        <v>0</v>
      </c>
      <c r="FY34" s="223"/>
      <c r="GA34" s="224">
        <v>950</v>
      </c>
      <c r="GB34" s="225">
        <v>2.2519999999999998</v>
      </c>
      <c r="GC34" s="226">
        <f t="shared" si="46"/>
        <v>0</v>
      </c>
      <c r="GD34" s="223"/>
      <c r="GE34" s="232"/>
      <c r="GF34" s="230">
        <v>950</v>
      </c>
      <c r="GG34" s="231">
        <v>14.9</v>
      </c>
      <c r="GH34" s="229">
        <f t="shared" si="47"/>
        <v>0</v>
      </c>
      <c r="GI34" s="223"/>
      <c r="GJ34" s="125"/>
      <c r="GK34" s="230">
        <v>950</v>
      </c>
      <c r="GL34" s="233">
        <v>1.22</v>
      </c>
      <c r="GM34" s="226">
        <f t="shared" si="48"/>
        <v>0</v>
      </c>
      <c r="GN34" s="223"/>
      <c r="GP34" s="154">
        <v>950</v>
      </c>
      <c r="GQ34" s="219">
        <v>1.1739999999999999</v>
      </c>
      <c r="GR34" s="226">
        <f t="shared" si="49"/>
        <v>0</v>
      </c>
      <c r="GS34" s="223"/>
      <c r="GU34" s="224">
        <v>950</v>
      </c>
      <c r="GV34" s="225">
        <v>2.2519999999999998</v>
      </c>
      <c r="GW34" s="226">
        <f t="shared" si="50"/>
        <v>0</v>
      </c>
      <c r="GX34" s="223"/>
      <c r="GY34" s="232"/>
      <c r="GZ34" s="230">
        <v>950</v>
      </c>
      <c r="HA34" s="231">
        <v>14.9</v>
      </c>
      <c r="HB34" s="229">
        <f t="shared" si="51"/>
        <v>0</v>
      </c>
      <c r="HC34" s="223"/>
      <c r="HD34" s="125"/>
      <c r="HE34" s="230">
        <v>950</v>
      </c>
      <c r="HF34" s="233">
        <v>1.22</v>
      </c>
      <c r="HG34" s="226">
        <f t="shared" si="52"/>
        <v>0</v>
      </c>
      <c r="HH34" s="223"/>
      <c r="HI34" s="5"/>
      <c r="HJ34" s="154">
        <v>1000</v>
      </c>
      <c r="HK34" s="219">
        <v>4.4749999999999996</v>
      </c>
      <c r="HL34" s="226">
        <f t="shared" si="53"/>
        <v>0</v>
      </c>
      <c r="HM34" s="223"/>
      <c r="HO34" s="224">
        <v>950</v>
      </c>
      <c r="HP34" s="225">
        <v>2.2519999999999998</v>
      </c>
      <c r="HQ34" s="226">
        <f t="shared" si="54"/>
        <v>0</v>
      </c>
      <c r="HR34" s="223"/>
      <c r="HS34" s="232"/>
      <c r="HT34" s="230">
        <v>950</v>
      </c>
      <c r="HU34" s="231">
        <v>14.9</v>
      </c>
      <c r="HV34" s="229">
        <f t="shared" si="55"/>
        <v>0</v>
      </c>
      <c r="HW34" s="223"/>
      <c r="HX34" s="125"/>
      <c r="HY34" s="230">
        <v>950</v>
      </c>
      <c r="HZ34" s="233">
        <v>1.22</v>
      </c>
      <c r="IA34" s="226">
        <f t="shared" si="56"/>
        <v>0</v>
      </c>
      <c r="IB34" s="223"/>
      <c r="IC34" s="5"/>
      <c r="ID34" s="154">
        <v>1000</v>
      </c>
      <c r="IE34" s="219">
        <v>4.4749999999999996</v>
      </c>
      <c r="IF34" s="226">
        <f t="shared" si="57"/>
        <v>0</v>
      </c>
      <c r="IG34" s="223"/>
      <c r="II34" s="224">
        <v>950</v>
      </c>
      <c r="IJ34" s="225">
        <v>2.2519999999999998</v>
      </c>
      <c r="IK34" s="226">
        <f t="shared" si="58"/>
        <v>0</v>
      </c>
      <c r="IL34" s="223"/>
      <c r="IM34" s="232"/>
      <c r="IN34" s="230">
        <v>950</v>
      </c>
      <c r="IO34" s="231">
        <v>14.9</v>
      </c>
      <c r="IP34" s="229">
        <f t="shared" si="59"/>
        <v>0</v>
      </c>
      <c r="IQ34" s="223"/>
      <c r="IR34" s="125"/>
      <c r="IS34" s="230">
        <v>950</v>
      </c>
      <c r="IT34" s="233">
        <v>1.22</v>
      </c>
      <c r="IU34" s="226">
        <f t="shared" si="60"/>
        <v>0</v>
      </c>
      <c r="IV34" s="223"/>
      <c r="IW34" s="5"/>
      <c r="IX34" s="154">
        <v>1000</v>
      </c>
      <c r="IY34" s="219">
        <v>4.4749999999999996</v>
      </c>
      <c r="IZ34" s="226">
        <f t="shared" si="61"/>
        <v>0</v>
      </c>
      <c r="JA34" s="223"/>
      <c r="JC34" s="224">
        <v>950</v>
      </c>
      <c r="JD34" s="225">
        <v>2.2519999999999998</v>
      </c>
      <c r="JE34" s="226">
        <f t="shared" si="62"/>
        <v>0</v>
      </c>
      <c r="JF34" s="223"/>
      <c r="JG34" s="232"/>
      <c r="JH34" s="230">
        <v>950</v>
      </c>
      <c r="JI34" s="231">
        <v>14.9</v>
      </c>
      <c r="JJ34" s="229">
        <f t="shared" si="63"/>
        <v>0</v>
      </c>
      <c r="JK34" s="223"/>
      <c r="JL34" s="125"/>
      <c r="JM34" s="230">
        <v>950</v>
      </c>
      <c r="JN34" s="233">
        <v>1.22</v>
      </c>
      <c r="JO34" s="226">
        <f t="shared" si="64"/>
        <v>0</v>
      </c>
      <c r="JP34" s="223"/>
      <c r="JQ34" s="5"/>
      <c r="JR34" s="154">
        <v>1000</v>
      </c>
      <c r="JS34" s="219">
        <v>4.4749999999999996</v>
      </c>
      <c r="JT34" s="226">
        <f t="shared" si="65"/>
        <v>0</v>
      </c>
      <c r="JU34" s="223"/>
      <c r="JW34" s="224">
        <v>950</v>
      </c>
      <c r="JX34" s="225">
        <v>2.2519999999999998</v>
      </c>
      <c r="JY34" s="226">
        <f t="shared" si="0"/>
        <v>0</v>
      </c>
      <c r="JZ34" s="223"/>
      <c r="KA34" s="232"/>
      <c r="KB34" s="230">
        <v>950</v>
      </c>
      <c r="KC34" s="231">
        <v>14.9</v>
      </c>
      <c r="KD34" s="229">
        <f t="shared" si="1"/>
        <v>0</v>
      </c>
      <c r="KE34" s="223"/>
      <c r="KF34" s="125"/>
      <c r="KG34" s="230">
        <v>950</v>
      </c>
      <c r="KH34" s="233">
        <v>1.22</v>
      </c>
      <c r="KI34" s="226">
        <f t="shared" si="2"/>
        <v>0</v>
      </c>
      <c r="KJ34" s="223"/>
      <c r="KK34" s="5"/>
      <c r="KL34" s="154">
        <v>1000</v>
      </c>
      <c r="KM34" s="219">
        <v>4.4749999999999996</v>
      </c>
      <c r="KN34" s="226">
        <f t="shared" si="3"/>
        <v>0</v>
      </c>
      <c r="KO34" s="223"/>
      <c r="KQ34" s="224">
        <v>950</v>
      </c>
      <c r="KR34" s="225">
        <v>2.2519999999999998</v>
      </c>
      <c r="KS34" s="226">
        <f t="shared" si="4"/>
        <v>0</v>
      </c>
      <c r="KT34" s="223"/>
      <c r="KU34" s="232"/>
      <c r="KV34" s="230">
        <v>950</v>
      </c>
      <c r="KW34" s="231">
        <v>14.9</v>
      </c>
      <c r="KX34" s="229">
        <f t="shared" si="5"/>
        <v>0</v>
      </c>
      <c r="KY34" s="223"/>
      <c r="KZ34" s="125"/>
      <c r="LA34" s="230">
        <v>950</v>
      </c>
      <c r="LB34" s="233">
        <v>1.22</v>
      </c>
      <c r="LC34" s="226">
        <f t="shared" si="6"/>
        <v>0</v>
      </c>
      <c r="LD34" s="223"/>
      <c r="LE34" s="5"/>
      <c r="LF34" s="154">
        <v>1000</v>
      </c>
      <c r="LG34" s="219">
        <v>4.4749999999999996</v>
      </c>
      <c r="LH34" s="226">
        <f t="shared" si="7"/>
        <v>0</v>
      </c>
      <c r="LI34" s="223"/>
      <c r="LK34" s="224">
        <v>950</v>
      </c>
      <c r="LL34" s="225">
        <v>2.2519999999999998</v>
      </c>
      <c r="LM34" s="226" t="e">
        <f t="shared" si="8"/>
        <v>#REF!</v>
      </c>
      <c r="LN34" s="223"/>
      <c r="LO34" s="232"/>
      <c r="LP34" s="230">
        <v>950</v>
      </c>
      <c r="LQ34" s="231">
        <v>14.9</v>
      </c>
      <c r="LR34" s="229" t="e">
        <f t="shared" si="9"/>
        <v>#REF!</v>
      </c>
      <c r="LS34" s="223"/>
      <c r="LT34" s="125"/>
      <c r="LU34" s="230">
        <v>950</v>
      </c>
      <c r="LV34" s="233">
        <v>1.22</v>
      </c>
      <c r="LW34" s="226" t="e">
        <f t="shared" si="10"/>
        <v>#REF!</v>
      </c>
      <c r="LX34" s="223"/>
      <c r="LY34" s="5"/>
      <c r="LZ34" s="154">
        <v>1000</v>
      </c>
      <c r="MA34" s="219">
        <v>4.4749999999999996</v>
      </c>
      <c r="MB34" s="226" t="e">
        <f t="shared" si="11"/>
        <v>#REF!</v>
      </c>
      <c r="MC34" s="223"/>
    </row>
    <row r="35" spans="2:341" ht="16" thickBot="1" x14ac:dyDescent="0.25">
      <c r="B35" s="232"/>
      <c r="C35" s="224">
        <v>1000</v>
      </c>
      <c r="D35" s="225">
        <v>2.2879999999999998</v>
      </c>
      <c r="E35" s="226">
        <f t="shared" si="12"/>
        <v>0</v>
      </c>
      <c r="F35" s="223"/>
      <c r="G35" s="232"/>
      <c r="H35" s="230">
        <v>1000</v>
      </c>
      <c r="I35" s="231">
        <v>14.98</v>
      </c>
      <c r="J35" s="229">
        <f t="shared" si="13"/>
        <v>0</v>
      </c>
      <c r="K35" s="223"/>
      <c r="L35" s="125"/>
      <c r="M35" s="230">
        <v>1000</v>
      </c>
      <c r="N35" s="233">
        <v>1.234</v>
      </c>
      <c r="O35" s="226">
        <f t="shared" si="14"/>
        <v>0</v>
      </c>
      <c r="P35" s="223"/>
      <c r="Q35" s="5"/>
      <c r="R35" s="154">
        <v>1050</v>
      </c>
      <c r="S35" s="219">
        <v>4.5949999999999998</v>
      </c>
      <c r="T35" s="226">
        <f t="shared" si="15"/>
        <v>0</v>
      </c>
      <c r="U35" s="223"/>
      <c r="V35" s="237"/>
      <c r="W35" s="224">
        <v>1000</v>
      </c>
      <c r="X35" s="225">
        <v>2.2879999999999998</v>
      </c>
      <c r="Y35" s="226">
        <f t="shared" si="16"/>
        <v>0</v>
      </c>
      <c r="Z35" s="223"/>
      <c r="AA35" s="232"/>
      <c r="AB35" s="230">
        <v>1000</v>
      </c>
      <c r="AC35" s="231">
        <v>14.98</v>
      </c>
      <c r="AD35" s="229">
        <f t="shared" si="17"/>
        <v>0</v>
      </c>
      <c r="AE35" s="223"/>
      <c r="AF35" s="125"/>
      <c r="AG35" s="230">
        <v>1000</v>
      </c>
      <c r="AH35" s="233">
        <v>1.234</v>
      </c>
      <c r="AI35" s="226">
        <f t="shared" si="18"/>
        <v>0</v>
      </c>
      <c r="AJ35" s="223"/>
      <c r="AK35" s="5"/>
      <c r="AL35" s="154">
        <v>1000</v>
      </c>
      <c r="AM35" s="219">
        <v>1.1850000000000001</v>
      </c>
      <c r="AN35" s="226">
        <f t="shared" si="19"/>
        <v>0</v>
      </c>
      <c r="AO35" s="223"/>
      <c r="AQ35" s="224">
        <v>1000</v>
      </c>
      <c r="AR35" s="225">
        <v>2.2879999999999998</v>
      </c>
      <c r="AS35" s="226">
        <f t="shared" si="20"/>
        <v>0</v>
      </c>
      <c r="AT35" s="223"/>
      <c r="AU35" s="232"/>
      <c r="AV35" s="230">
        <v>1000</v>
      </c>
      <c r="AW35" s="231">
        <v>14.98</v>
      </c>
      <c r="AX35" s="229">
        <f t="shared" si="21"/>
        <v>0</v>
      </c>
      <c r="AY35" s="223"/>
      <c r="AZ35" s="125"/>
      <c r="BA35" s="230">
        <v>1000</v>
      </c>
      <c r="BB35" s="233">
        <v>1.234</v>
      </c>
      <c r="BC35" s="226">
        <f t="shared" si="22"/>
        <v>0</v>
      </c>
      <c r="BD35" s="223"/>
      <c r="BE35" s="5"/>
      <c r="BF35" s="154">
        <v>1050</v>
      </c>
      <c r="BG35" s="219">
        <v>4.5949999999999998</v>
      </c>
      <c r="BH35" s="226">
        <f t="shared" si="23"/>
        <v>0</v>
      </c>
      <c r="BI35" s="223"/>
      <c r="BK35" s="224">
        <v>1000</v>
      </c>
      <c r="BL35" s="225">
        <v>2.2879999999999998</v>
      </c>
      <c r="BM35" s="226">
        <f t="shared" si="24"/>
        <v>0</v>
      </c>
      <c r="BN35" s="223"/>
      <c r="BO35" s="232"/>
      <c r="BP35" s="230">
        <v>1000</v>
      </c>
      <c r="BQ35" s="231">
        <v>14.98</v>
      </c>
      <c r="BR35" s="229">
        <f t="shared" si="25"/>
        <v>0</v>
      </c>
      <c r="BS35" s="223"/>
      <c r="BT35" s="125"/>
      <c r="BU35" s="230">
        <v>1000</v>
      </c>
      <c r="BV35" s="233">
        <v>1.234</v>
      </c>
      <c r="BW35" s="226">
        <f t="shared" si="26"/>
        <v>0</v>
      </c>
      <c r="BX35" s="223"/>
      <c r="BY35" s="5"/>
      <c r="BZ35" s="154">
        <v>1000</v>
      </c>
      <c r="CA35" s="219">
        <v>1.1850000000000001</v>
      </c>
      <c r="CB35" s="226">
        <f t="shared" si="27"/>
        <v>0</v>
      </c>
      <c r="CC35" s="223"/>
      <c r="CE35" s="224">
        <v>1000</v>
      </c>
      <c r="CF35" s="225">
        <v>2.2879999999999998</v>
      </c>
      <c r="CG35" s="226">
        <f t="shared" si="28"/>
        <v>0</v>
      </c>
      <c r="CH35" s="223"/>
      <c r="CI35" s="232"/>
      <c r="CJ35" s="230">
        <v>1000</v>
      </c>
      <c r="CK35" s="231">
        <v>14.98</v>
      </c>
      <c r="CL35" s="229">
        <f t="shared" si="29"/>
        <v>0</v>
      </c>
      <c r="CM35" s="223"/>
      <c r="CN35" s="125"/>
      <c r="CO35" s="230">
        <v>1000</v>
      </c>
      <c r="CP35" s="233">
        <v>1.234</v>
      </c>
      <c r="CQ35" s="226">
        <f t="shared" si="30"/>
        <v>0</v>
      </c>
      <c r="CR35" s="223"/>
      <c r="CT35" s="154">
        <v>1000</v>
      </c>
      <c r="CU35" s="219">
        <v>1.1850000000000001</v>
      </c>
      <c r="CV35" s="226">
        <f t="shared" si="31"/>
        <v>0</v>
      </c>
      <c r="CW35" s="223"/>
      <c r="CY35" s="224">
        <v>1000</v>
      </c>
      <c r="CZ35" s="225">
        <v>2.2879999999999998</v>
      </c>
      <c r="DA35" s="226">
        <f t="shared" si="32"/>
        <v>0</v>
      </c>
      <c r="DB35" s="223"/>
      <c r="DC35" s="232"/>
      <c r="DD35" s="230">
        <v>1000</v>
      </c>
      <c r="DE35" s="231">
        <v>14.98</v>
      </c>
      <c r="DF35" s="229">
        <f t="shared" si="33"/>
        <v>0</v>
      </c>
      <c r="DG35" s="223"/>
      <c r="DH35" s="125"/>
      <c r="DI35" s="230">
        <v>1000</v>
      </c>
      <c r="DJ35" s="233">
        <v>1.234</v>
      </c>
      <c r="DK35" s="226">
        <f t="shared" si="34"/>
        <v>0</v>
      </c>
      <c r="DL35" s="223"/>
      <c r="DN35" s="154">
        <v>1000</v>
      </c>
      <c r="DO35" s="219">
        <v>1.1850000000000001</v>
      </c>
      <c r="DP35" s="226">
        <f t="shared" si="35"/>
        <v>0</v>
      </c>
      <c r="DQ35" s="223"/>
      <c r="DS35" s="224">
        <v>1000</v>
      </c>
      <c r="DT35" s="225">
        <v>2.2879999999999998</v>
      </c>
      <c r="DU35" s="226">
        <f t="shared" si="36"/>
        <v>0</v>
      </c>
      <c r="DV35" s="223"/>
      <c r="DW35" s="232"/>
      <c r="DX35" s="230">
        <v>1000</v>
      </c>
      <c r="DY35" s="231">
        <v>14.98</v>
      </c>
      <c r="DZ35" s="229">
        <f t="shared" si="37"/>
        <v>0</v>
      </c>
      <c r="EA35" s="223"/>
      <c r="EB35" s="125"/>
      <c r="EC35" s="230">
        <v>1000</v>
      </c>
      <c r="ED35" s="233">
        <v>1.234</v>
      </c>
      <c r="EE35" s="226">
        <f t="shared" si="38"/>
        <v>0</v>
      </c>
      <c r="EF35" s="223"/>
      <c r="EH35" s="154">
        <v>1000</v>
      </c>
      <c r="EI35" s="219">
        <v>1.1850000000000001</v>
      </c>
      <c r="EJ35" s="226">
        <f t="shared" si="39"/>
        <v>0</v>
      </c>
      <c r="EK35" s="223"/>
      <c r="EM35" s="230">
        <v>1000</v>
      </c>
      <c r="EN35" s="233">
        <v>1.234</v>
      </c>
      <c r="EO35" s="226">
        <f t="shared" si="40"/>
        <v>0</v>
      </c>
      <c r="EP35" s="223"/>
      <c r="EQ35" s="232"/>
      <c r="ER35" s="224"/>
      <c r="ES35" s="224"/>
      <c r="ET35" s="389"/>
      <c r="EU35" s="5"/>
      <c r="EV35" s="125"/>
      <c r="EW35" s="230">
        <v>1000</v>
      </c>
      <c r="EX35" s="233">
        <v>1.234</v>
      </c>
      <c r="EY35" s="226">
        <f t="shared" si="41"/>
        <v>0</v>
      </c>
      <c r="EZ35" s="223"/>
      <c r="FA35" s="232"/>
      <c r="FB35" s="224"/>
      <c r="FC35" s="224"/>
      <c r="FD35" s="389"/>
      <c r="FE35" s="5"/>
      <c r="FG35" s="224">
        <v>1000</v>
      </c>
      <c r="FH35" s="225">
        <v>2.2879999999999998</v>
      </c>
      <c r="FI35" s="226">
        <f t="shared" si="42"/>
        <v>0</v>
      </c>
      <c r="FJ35" s="223"/>
      <c r="FK35" s="232"/>
      <c r="FL35" s="230">
        <v>1000</v>
      </c>
      <c r="FM35" s="231">
        <v>14.98</v>
      </c>
      <c r="FN35" s="229">
        <f t="shared" si="43"/>
        <v>0</v>
      </c>
      <c r="FO35" s="223"/>
      <c r="FP35" s="125"/>
      <c r="FQ35" s="230">
        <v>1000</v>
      </c>
      <c r="FR35" s="233">
        <v>1.234</v>
      </c>
      <c r="FS35" s="226">
        <f t="shared" si="44"/>
        <v>0</v>
      </c>
      <c r="FT35" s="223"/>
      <c r="FV35" s="154">
        <v>1000</v>
      </c>
      <c r="FW35" s="219">
        <v>1.1850000000000001</v>
      </c>
      <c r="FX35" s="226">
        <f t="shared" si="45"/>
        <v>0</v>
      </c>
      <c r="FY35" s="223"/>
      <c r="GA35" s="224">
        <v>1000</v>
      </c>
      <c r="GB35" s="225">
        <v>2.2879999999999998</v>
      </c>
      <c r="GC35" s="226">
        <f t="shared" si="46"/>
        <v>0</v>
      </c>
      <c r="GD35" s="223"/>
      <c r="GE35" s="232"/>
      <c r="GF35" s="230">
        <v>1000</v>
      </c>
      <c r="GG35" s="231">
        <v>14.98</v>
      </c>
      <c r="GH35" s="229">
        <f t="shared" si="47"/>
        <v>0</v>
      </c>
      <c r="GI35" s="223"/>
      <c r="GJ35" s="125"/>
      <c r="GK35" s="230">
        <v>1000</v>
      </c>
      <c r="GL35" s="233">
        <v>1.234</v>
      </c>
      <c r="GM35" s="226">
        <f t="shared" si="48"/>
        <v>0</v>
      </c>
      <c r="GN35" s="223"/>
      <c r="GP35" s="154">
        <v>1000</v>
      </c>
      <c r="GQ35" s="219">
        <v>1.1850000000000001</v>
      </c>
      <c r="GR35" s="226">
        <f t="shared" si="49"/>
        <v>0</v>
      </c>
      <c r="GS35" s="223"/>
      <c r="GU35" s="224">
        <v>1000</v>
      </c>
      <c r="GV35" s="225">
        <v>2.2879999999999998</v>
      </c>
      <c r="GW35" s="226">
        <f t="shared" si="50"/>
        <v>0</v>
      </c>
      <c r="GX35" s="223"/>
      <c r="GY35" s="232"/>
      <c r="GZ35" s="230">
        <v>1000</v>
      </c>
      <c r="HA35" s="231">
        <v>14.98</v>
      </c>
      <c r="HB35" s="229">
        <f t="shared" si="51"/>
        <v>0</v>
      </c>
      <c r="HC35" s="223"/>
      <c r="HD35" s="125"/>
      <c r="HE35" s="230">
        <v>1000</v>
      </c>
      <c r="HF35" s="233">
        <v>1.234</v>
      </c>
      <c r="HG35" s="226">
        <f t="shared" si="52"/>
        <v>0</v>
      </c>
      <c r="HH35" s="223"/>
      <c r="HI35" s="5"/>
      <c r="HJ35" s="154">
        <v>1050</v>
      </c>
      <c r="HK35" s="219">
        <v>4.5949999999999998</v>
      </c>
      <c r="HL35" s="226">
        <f t="shared" si="53"/>
        <v>0</v>
      </c>
      <c r="HM35" s="223"/>
      <c r="HO35" s="224">
        <v>1000</v>
      </c>
      <c r="HP35" s="225">
        <v>2.2879999999999998</v>
      </c>
      <c r="HQ35" s="226">
        <f t="shared" si="54"/>
        <v>0</v>
      </c>
      <c r="HR35" s="223"/>
      <c r="HS35" s="232"/>
      <c r="HT35" s="230">
        <v>1000</v>
      </c>
      <c r="HU35" s="231">
        <v>14.98</v>
      </c>
      <c r="HV35" s="229">
        <f t="shared" si="55"/>
        <v>0</v>
      </c>
      <c r="HW35" s="223"/>
      <c r="HX35" s="125"/>
      <c r="HY35" s="230">
        <v>1000</v>
      </c>
      <c r="HZ35" s="233">
        <v>1.234</v>
      </c>
      <c r="IA35" s="226">
        <f t="shared" si="56"/>
        <v>0</v>
      </c>
      <c r="IB35" s="223"/>
      <c r="IC35" s="5"/>
      <c r="ID35" s="154">
        <v>1050</v>
      </c>
      <c r="IE35" s="219">
        <v>4.5949999999999998</v>
      </c>
      <c r="IF35" s="226">
        <f t="shared" si="57"/>
        <v>0</v>
      </c>
      <c r="IG35" s="223"/>
      <c r="II35" s="224">
        <v>1000</v>
      </c>
      <c r="IJ35" s="225">
        <v>2.2879999999999998</v>
      </c>
      <c r="IK35" s="226">
        <f t="shared" si="58"/>
        <v>0</v>
      </c>
      <c r="IL35" s="223"/>
      <c r="IM35" s="232"/>
      <c r="IN35" s="230">
        <v>1000</v>
      </c>
      <c r="IO35" s="231">
        <v>14.98</v>
      </c>
      <c r="IP35" s="229">
        <f t="shared" si="59"/>
        <v>0</v>
      </c>
      <c r="IQ35" s="223"/>
      <c r="IR35" s="125"/>
      <c r="IS35" s="230">
        <v>1000</v>
      </c>
      <c r="IT35" s="233">
        <v>1.234</v>
      </c>
      <c r="IU35" s="226">
        <f t="shared" si="60"/>
        <v>0</v>
      </c>
      <c r="IV35" s="223"/>
      <c r="IW35" s="5"/>
      <c r="IX35" s="154">
        <v>1050</v>
      </c>
      <c r="IY35" s="219">
        <v>4.5949999999999998</v>
      </c>
      <c r="IZ35" s="226">
        <f t="shared" si="61"/>
        <v>0</v>
      </c>
      <c r="JA35" s="223"/>
      <c r="JC35" s="224">
        <v>1000</v>
      </c>
      <c r="JD35" s="225">
        <v>2.2879999999999998</v>
      </c>
      <c r="JE35" s="226">
        <f t="shared" si="62"/>
        <v>0</v>
      </c>
      <c r="JF35" s="223"/>
      <c r="JG35" s="232"/>
      <c r="JH35" s="230">
        <v>1000</v>
      </c>
      <c r="JI35" s="231">
        <v>14.98</v>
      </c>
      <c r="JJ35" s="229">
        <f t="shared" si="63"/>
        <v>0</v>
      </c>
      <c r="JK35" s="223"/>
      <c r="JL35" s="125"/>
      <c r="JM35" s="230">
        <v>1000</v>
      </c>
      <c r="JN35" s="233">
        <v>1.234</v>
      </c>
      <c r="JO35" s="226">
        <f t="shared" si="64"/>
        <v>0</v>
      </c>
      <c r="JP35" s="223"/>
      <c r="JQ35" s="5"/>
      <c r="JR35" s="154">
        <v>1050</v>
      </c>
      <c r="JS35" s="219">
        <v>4.5949999999999998</v>
      </c>
      <c r="JT35" s="226">
        <f t="shared" si="65"/>
        <v>0</v>
      </c>
      <c r="JU35" s="223"/>
      <c r="JW35" s="224">
        <v>1000</v>
      </c>
      <c r="JX35" s="225">
        <v>2.2879999999999998</v>
      </c>
      <c r="JY35" s="226">
        <f t="shared" si="0"/>
        <v>0</v>
      </c>
      <c r="JZ35" s="223"/>
      <c r="KA35" s="232"/>
      <c r="KB35" s="230">
        <v>1000</v>
      </c>
      <c r="KC35" s="231">
        <v>14.98</v>
      </c>
      <c r="KD35" s="229">
        <f t="shared" si="1"/>
        <v>0</v>
      </c>
      <c r="KE35" s="223"/>
      <c r="KF35" s="125"/>
      <c r="KG35" s="230">
        <v>1000</v>
      </c>
      <c r="KH35" s="233">
        <v>1.234</v>
      </c>
      <c r="KI35" s="226">
        <f t="shared" si="2"/>
        <v>0</v>
      </c>
      <c r="KJ35" s="223"/>
      <c r="KK35" s="5"/>
      <c r="KL35" s="154">
        <v>1050</v>
      </c>
      <c r="KM35" s="219">
        <v>4.5949999999999998</v>
      </c>
      <c r="KN35" s="226">
        <f t="shared" si="3"/>
        <v>0</v>
      </c>
      <c r="KO35" s="223"/>
      <c r="KQ35" s="224">
        <v>1000</v>
      </c>
      <c r="KR35" s="225">
        <v>2.2879999999999998</v>
      </c>
      <c r="KS35" s="226">
        <f t="shared" si="4"/>
        <v>0</v>
      </c>
      <c r="KT35" s="223"/>
      <c r="KU35" s="232"/>
      <c r="KV35" s="230">
        <v>1000</v>
      </c>
      <c r="KW35" s="231">
        <v>14.98</v>
      </c>
      <c r="KX35" s="229">
        <f t="shared" si="5"/>
        <v>0</v>
      </c>
      <c r="KY35" s="223"/>
      <c r="KZ35" s="125"/>
      <c r="LA35" s="230">
        <v>1000</v>
      </c>
      <c r="LB35" s="233">
        <v>1.234</v>
      </c>
      <c r="LC35" s="226">
        <f t="shared" si="6"/>
        <v>0</v>
      </c>
      <c r="LD35" s="223"/>
      <c r="LE35" s="5"/>
      <c r="LF35" s="154">
        <v>1050</v>
      </c>
      <c r="LG35" s="219">
        <v>4.5949999999999998</v>
      </c>
      <c r="LH35" s="226">
        <f t="shared" si="7"/>
        <v>0</v>
      </c>
      <c r="LI35" s="223"/>
      <c r="LK35" s="224">
        <v>1000</v>
      </c>
      <c r="LL35" s="225">
        <v>2.2879999999999998</v>
      </c>
      <c r="LM35" s="226" t="e">
        <f t="shared" si="8"/>
        <v>#REF!</v>
      </c>
      <c r="LN35" s="223"/>
      <c r="LO35" s="232"/>
      <c r="LP35" s="230">
        <v>1000</v>
      </c>
      <c r="LQ35" s="231">
        <v>14.98</v>
      </c>
      <c r="LR35" s="229" t="e">
        <f t="shared" si="9"/>
        <v>#REF!</v>
      </c>
      <c r="LS35" s="223"/>
      <c r="LT35" s="125"/>
      <c r="LU35" s="230">
        <v>1000</v>
      </c>
      <c r="LV35" s="233">
        <v>1.234</v>
      </c>
      <c r="LW35" s="226" t="e">
        <f t="shared" si="10"/>
        <v>#REF!</v>
      </c>
      <c r="LX35" s="223"/>
      <c r="LY35" s="5"/>
      <c r="LZ35" s="154">
        <v>1050</v>
      </c>
      <c r="MA35" s="219">
        <v>4.5949999999999998</v>
      </c>
      <c r="MB35" s="226" t="e">
        <f t="shared" si="11"/>
        <v>#REF!</v>
      </c>
      <c r="MC35" s="223"/>
    </row>
    <row r="36" spans="2:341" ht="16" thickBot="1" x14ac:dyDescent="0.25">
      <c r="B36" s="232"/>
      <c r="C36" s="224">
        <v>1050</v>
      </c>
      <c r="D36" s="225">
        <v>2.323</v>
      </c>
      <c r="E36" s="226">
        <f t="shared" si="12"/>
        <v>0</v>
      </c>
      <c r="F36" s="223"/>
      <c r="G36" s="232"/>
      <c r="H36" s="230">
        <v>1050</v>
      </c>
      <c r="I36" s="231">
        <v>15.06</v>
      </c>
      <c r="J36" s="229">
        <f t="shared" si="13"/>
        <v>0</v>
      </c>
      <c r="K36" s="223"/>
      <c r="L36" s="125"/>
      <c r="M36" s="230">
        <v>1050</v>
      </c>
      <c r="N36" s="233">
        <v>1.2470000000000001</v>
      </c>
      <c r="O36" s="226">
        <f t="shared" si="14"/>
        <v>0</v>
      </c>
      <c r="P36" s="223"/>
      <c r="Q36" s="5"/>
      <c r="R36" s="156">
        <v>1100</v>
      </c>
      <c r="S36" s="220">
        <v>4.7080000000000002</v>
      </c>
      <c r="T36" s="226">
        <f t="shared" si="15"/>
        <v>0</v>
      </c>
      <c r="U36" s="223"/>
      <c r="V36" s="237"/>
      <c r="W36" s="224">
        <v>1050</v>
      </c>
      <c r="X36" s="225">
        <v>2.323</v>
      </c>
      <c r="Y36" s="226">
        <f t="shared" si="16"/>
        <v>0</v>
      </c>
      <c r="Z36" s="223"/>
      <c r="AA36" s="232"/>
      <c r="AB36" s="230">
        <v>1050</v>
      </c>
      <c r="AC36" s="231">
        <v>15.06</v>
      </c>
      <c r="AD36" s="229">
        <f t="shared" si="17"/>
        <v>0</v>
      </c>
      <c r="AE36" s="223"/>
      <c r="AF36" s="125"/>
      <c r="AG36" s="230">
        <v>1050</v>
      </c>
      <c r="AH36" s="233">
        <v>1.2470000000000001</v>
      </c>
      <c r="AI36" s="226">
        <f t="shared" si="18"/>
        <v>0</v>
      </c>
      <c r="AJ36" s="223"/>
      <c r="AK36" s="5"/>
      <c r="AL36" s="154">
        <v>1050</v>
      </c>
      <c r="AM36" s="219">
        <v>1.194</v>
      </c>
      <c r="AN36" s="226">
        <f t="shared" si="19"/>
        <v>0</v>
      </c>
      <c r="AO36" s="223"/>
      <c r="AQ36" s="224">
        <v>1050</v>
      </c>
      <c r="AR36" s="225">
        <v>2.323</v>
      </c>
      <c r="AS36" s="226">
        <f t="shared" si="20"/>
        <v>0</v>
      </c>
      <c r="AT36" s="223"/>
      <c r="AU36" s="232"/>
      <c r="AV36" s="230">
        <v>1050</v>
      </c>
      <c r="AW36" s="231">
        <v>15.06</v>
      </c>
      <c r="AX36" s="229">
        <f t="shared" si="21"/>
        <v>0</v>
      </c>
      <c r="AY36" s="223"/>
      <c r="AZ36" s="125"/>
      <c r="BA36" s="230">
        <v>1050</v>
      </c>
      <c r="BB36" s="233">
        <v>1.2470000000000001</v>
      </c>
      <c r="BC36" s="226">
        <f t="shared" si="22"/>
        <v>0</v>
      </c>
      <c r="BD36" s="223"/>
      <c r="BE36" s="5"/>
      <c r="BF36" s="156">
        <v>1100</v>
      </c>
      <c r="BG36" s="220">
        <v>4.7080000000000002</v>
      </c>
      <c r="BH36" s="226">
        <f t="shared" si="23"/>
        <v>0</v>
      </c>
      <c r="BI36" s="223"/>
      <c r="BK36" s="224">
        <v>1050</v>
      </c>
      <c r="BL36" s="225">
        <v>2.323</v>
      </c>
      <c r="BM36" s="226">
        <f t="shared" si="24"/>
        <v>0</v>
      </c>
      <c r="BN36" s="223"/>
      <c r="BO36" s="232"/>
      <c r="BP36" s="230">
        <v>1050</v>
      </c>
      <c r="BQ36" s="231">
        <v>15.06</v>
      </c>
      <c r="BR36" s="229">
        <f t="shared" si="25"/>
        <v>0</v>
      </c>
      <c r="BS36" s="223"/>
      <c r="BT36" s="125"/>
      <c r="BU36" s="230">
        <v>1050</v>
      </c>
      <c r="BV36" s="233">
        <v>1.2470000000000001</v>
      </c>
      <c r="BW36" s="226">
        <f t="shared" si="26"/>
        <v>0</v>
      </c>
      <c r="BX36" s="223"/>
      <c r="BY36" s="5"/>
      <c r="BZ36" s="154">
        <v>1050</v>
      </c>
      <c r="CA36" s="219">
        <v>1.194</v>
      </c>
      <c r="CB36" s="226">
        <f t="shared" si="27"/>
        <v>0</v>
      </c>
      <c r="CC36" s="223"/>
      <c r="CE36" s="224">
        <v>1050</v>
      </c>
      <c r="CF36" s="225">
        <v>2.323</v>
      </c>
      <c r="CG36" s="226">
        <f t="shared" si="28"/>
        <v>0</v>
      </c>
      <c r="CH36" s="223"/>
      <c r="CI36" s="232"/>
      <c r="CJ36" s="230">
        <v>1050</v>
      </c>
      <c r="CK36" s="231">
        <v>15.06</v>
      </c>
      <c r="CL36" s="229">
        <f t="shared" si="29"/>
        <v>0</v>
      </c>
      <c r="CM36" s="223"/>
      <c r="CN36" s="125"/>
      <c r="CO36" s="230">
        <v>1050</v>
      </c>
      <c r="CP36" s="233">
        <v>1.2470000000000001</v>
      </c>
      <c r="CQ36" s="226">
        <f t="shared" si="30"/>
        <v>0</v>
      </c>
      <c r="CR36" s="223"/>
      <c r="CT36" s="154">
        <v>1050</v>
      </c>
      <c r="CU36" s="219">
        <v>1.194</v>
      </c>
      <c r="CV36" s="226">
        <f t="shared" si="31"/>
        <v>0</v>
      </c>
      <c r="CW36" s="223"/>
      <c r="CY36" s="224">
        <v>1050</v>
      </c>
      <c r="CZ36" s="225">
        <v>2.323</v>
      </c>
      <c r="DA36" s="226">
        <f t="shared" si="32"/>
        <v>0</v>
      </c>
      <c r="DB36" s="223"/>
      <c r="DC36" s="232"/>
      <c r="DD36" s="230">
        <v>1050</v>
      </c>
      <c r="DE36" s="231">
        <v>15.06</v>
      </c>
      <c r="DF36" s="229">
        <f t="shared" si="33"/>
        <v>0</v>
      </c>
      <c r="DG36" s="223"/>
      <c r="DH36" s="125"/>
      <c r="DI36" s="230">
        <v>1050</v>
      </c>
      <c r="DJ36" s="233">
        <v>1.2470000000000001</v>
      </c>
      <c r="DK36" s="226">
        <f t="shared" si="34"/>
        <v>0</v>
      </c>
      <c r="DL36" s="223"/>
      <c r="DN36" s="154">
        <v>1050</v>
      </c>
      <c r="DO36" s="219">
        <v>1.194</v>
      </c>
      <c r="DP36" s="226">
        <f t="shared" si="35"/>
        <v>0</v>
      </c>
      <c r="DQ36" s="223"/>
      <c r="DS36" s="224">
        <v>1050</v>
      </c>
      <c r="DT36" s="225">
        <v>2.323</v>
      </c>
      <c r="DU36" s="226">
        <f t="shared" si="36"/>
        <v>0</v>
      </c>
      <c r="DV36" s="223"/>
      <c r="DW36" s="232"/>
      <c r="DX36" s="230">
        <v>1050</v>
      </c>
      <c r="DY36" s="231">
        <v>15.06</v>
      </c>
      <c r="DZ36" s="229">
        <f t="shared" si="37"/>
        <v>0</v>
      </c>
      <c r="EA36" s="223"/>
      <c r="EB36" s="125"/>
      <c r="EC36" s="230">
        <v>1050</v>
      </c>
      <c r="ED36" s="233">
        <v>1.2470000000000001</v>
      </c>
      <c r="EE36" s="226">
        <f t="shared" si="38"/>
        <v>0</v>
      </c>
      <c r="EF36" s="223"/>
      <c r="EH36" s="154">
        <v>1050</v>
      </c>
      <c r="EI36" s="219">
        <v>1.194</v>
      </c>
      <c r="EJ36" s="226">
        <f t="shared" si="39"/>
        <v>0</v>
      </c>
      <c r="EK36" s="223"/>
      <c r="EM36" s="230">
        <v>1050</v>
      </c>
      <c r="EN36" s="233">
        <v>1.2470000000000001</v>
      </c>
      <c r="EO36" s="226">
        <f t="shared" si="40"/>
        <v>0</v>
      </c>
      <c r="EP36" s="223"/>
      <c r="EQ36" s="232"/>
      <c r="ER36" s="224"/>
      <c r="ES36" s="224"/>
      <c r="ET36" s="389"/>
      <c r="EU36" s="5"/>
      <c r="EV36" s="125"/>
      <c r="EW36" s="230">
        <v>1050</v>
      </c>
      <c r="EX36" s="233">
        <v>1.2470000000000001</v>
      </c>
      <c r="EY36" s="226">
        <f t="shared" si="41"/>
        <v>0</v>
      </c>
      <c r="EZ36" s="223"/>
      <c r="FA36" s="232"/>
      <c r="FB36" s="224"/>
      <c r="FC36" s="224"/>
      <c r="FD36" s="389"/>
      <c r="FE36" s="5"/>
      <c r="FG36" s="224">
        <v>1050</v>
      </c>
      <c r="FH36" s="225">
        <v>2.323</v>
      </c>
      <c r="FI36" s="226">
        <f t="shared" si="42"/>
        <v>0</v>
      </c>
      <c r="FJ36" s="223"/>
      <c r="FK36" s="232"/>
      <c r="FL36" s="230">
        <v>1050</v>
      </c>
      <c r="FM36" s="231">
        <v>15.06</v>
      </c>
      <c r="FN36" s="229">
        <f t="shared" si="43"/>
        <v>0</v>
      </c>
      <c r="FO36" s="223"/>
      <c r="FP36" s="125"/>
      <c r="FQ36" s="230">
        <v>1050</v>
      </c>
      <c r="FR36" s="233">
        <v>1.2470000000000001</v>
      </c>
      <c r="FS36" s="226">
        <f t="shared" si="44"/>
        <v>0</v>
      </c>
      <c r="FT36" s="223"/>
      <c r="FV36" s="154">
        <v>1050</v>
      </c>
      <c r="FW36" s="219">
        <v>1.194</v>
      </c>
      <c r="FX36" s="226">
        <f t="shared" si="45"/>
        <v>0</v>
      </c>
      <c r="FY36" s="223"/>
      <c r="GA36" s="224">
        <v>1050</v>
      </c>
      <c r="GB36" s="225">
        <v>2.323</v>
      </c>
      <c r="GC36" s="226">
        <f t="shared" si="46"/>
        <v>0</v>
      </c>
      <c r="GD36" s="223"/>
      <c r="GE36" s="232"/>
      <c r="GF36" s="230">
        <v>1050</v>
      </c>
      <c r="GG36" s="231">
        <v>15.06</v>
      </c>
      <c r="GH36" s="229">
        <f t="shared" si="47"/>
        <v>0</v>
      </c>
      <c r="GI36" s="223"/>
      <c r="GJ36" s="125"/>
      <c r="GK36" s="230">
        <v>1050</v>
      </c>
      <c r="GL36" s="233">
        <v>1.2470000000000001</v>
      </c>
      <c r="GM36" s="226">
        <f t="shared" si="48"/>
        <v>0</v>
      </c>
      <c r="GN36" s="223"/>
      <c r="GP36" s="154">
        <v>1050</v>
      </c>
      <c r="GQ36" s="219">
        <v>1.194</v>
      </c>
      <c r="GR36" s="226">
        <f t="shared" si="49"/>
        <v>0</v>
      </c>
      <c r="GS36" s="223"/>
      <c r="GU36" s="224">
        <v>1050</v>
      </c>
      <c r="GV36" s="225">
        <v>2.323</v>
      </c>
      <c r="GW36" s="226">
        <f t="shared" si="50"/>
        <v>0</v>
      </c>
      <c r="GX36" s="223"/>
      <c r="GY36" s="232"/>
      <c r="GZ36" s="230">
        <v>1050</v>
      </c>
      <c r="HA36" s="231">
        <v>15.06</v>
      </c>
      <c r="HB36" s="229">
        <f t="shared" si="51"/>
        <v>0</v>
      </c>
      <c r="HC36" s="223"/>
      <c r="HD36" s="125"/>
      <c r="HE36" s="230">
        <v>1050</v>
      </c>
      <c r="HF36" s="233">
        <v>1.2470000000000001</v>
      </c>
      <c r="HG36" s="226">
        <f t="shared" si="52"/>
        <v>0</v>
      </c>
      <c r="HH36" s="223"/>
      <c r="HI36" s="5"/>
      <c r="HJ36" s="156">
        <v>1100</v>
      </c>
      <c r="HK36" s="220">
        <v>4.7080000000000002</v>
      </c>
      <c r="HL36" s="226">
        <f t="shared" si="53"/>
        <v>0</v>
      </c>
      <c r="HM36" s="223"/>
      <c r="HO36" s="224">
        <v>1050</v>
      </c>
      <c r="HP36" s="225">
        <v>2.323</v>
      </c>
      <c r="HQ36" s="226">
        <f t="shared" si="54"/>
        <v>0</v>
      </c>
      <c r="HR36" s="223"/>
      <c r="HS36" s="232"/>
      <c r="HT36" s="230">
        <v>1050</v>
      </c>
      <c r="HU36" s="231">
        <v>15.06</v>
      </c>
      <c r="HV36" s="229">
        <f t="shared" si="55"/>
        <v>0</v>
      </c>
      <c r="HW36" s="223"/>
      <c r="HX36" s="125"/>
      <c r="HY36" s="230">
        <v>1050</v>
      </c>
      <c r="HZ36" s="233">
        <v>1.2470000000000001</v>
      </c>
      <c r="IA36" s="226">
        <f t="shared" si="56"/>
        <v>0</v>
      </c>
      <c r="IB36" s="223"/>
      <c r="IC36" s="5"/>
      <c r="ID36" s="156">
        <v>1100</v>
      </c>
      <c r="IE36" s="220">
        <v>4.7080000000000002</v>
      </c>
      <c r="IF36" s="226">
        <f t="shared" si="57"/>
        <v>0</v>
      </c>
      <c r="IG36" s="223"/>
      <c r="II36" s="224">
        <v>1050</v>
      </c>
      <c r="IJ36" s="225">
        <v>2.323</v>
      </c>
      <c r="IK36" s="226">
        <f t="shared" si="58"/>
        <v>0</v>
      </c>
      <c r="IL36" s="223"/>
      <c r="IM36" s="232"/>
      <c r="IN36" s="230">
        <v>1050</v>
      </c>
      <c r="IO36" s="231">
        <v>15.06</v>
      </c>
      <c r="IP36" s="229">
        <f t="shared" si="59"/>
        <v>0</v>
      </c>
      <c r="IQ36" s="223"/>
      <c r="IR36" s="125"/>
      <c r="IS36" s="230">
        <v>1050</v>
      </c>
      <c r="IT36" s="233">
        <v>1.2470000000000001</v>
      </c>
      <c r="IU36" s="226">
        <f t="shared" si="60"/>
        <v>0</v>
      </c>
      <c r="IV36" s="223"/>
      <c r="IW36" s="5"/>
      <c r="IX36" s="156">
        <v>1100</v>
      </c>
      <c r="IY36" s="220">
        <v>4.7080000000000002</v>
      </c>
      <c r="IZ36" s="226">
        <f t="shared" si="61"/>
        <v>0</v>
      </c>
      <c r="JA36" s="223"/>
      <c r="JC36" s="224">
        <v>1050</v>
      </c>
      <c r="JD36" s="225">
        <v>2.323</v>
      </c>
      <c r="JE36" s="226">
        <f t="shared" si="62"/>
        <v>0</v>
      </c>
      <c r="JF36" s="223"/>
      <c r="JG36" s="232"/>
      <c r="JH36" s="230">
        <v>1050</v>
      </c>
      <c r="JI36" s="231">
        <v>15.06</v>
      </c>
      <c r="JJ36" s="229">
        <f t="shared" si="63"/>
        <v>0</v>
      </c>
      <c r="JK36" s="223"/>
      <c r="JL36" s="125"/>
      <c r="JM36" s="230">
        <v>1050</v>
      </c>
      <c r="JN36" s="233">
        <v>1.2470000000000001</v>
      </c>
      <c r="JO36" s="226">
        <f t="shared" si="64"/>
        <v>0</v>
      </c>
      <c r="JP36" s="223"/>
      <c r="JQ36" s="5"/>
      <c r="JR36" s="156">
        <v>1100</v>
      </c>
      <c r="JS36" s="220">
        <v>4.7080000000000002</v>
      </c>
      <c r="JT36" s="226">
        <f t="shared" si="65"/>
        <v>0</v>
      </c>
      <c r="JU36" s="223"/>
      <c r="JW36" s="224">
        <v>1050</v>
      </c>
      <c r="JX36" s="225">
        <v>2.323</v>
      </c>
      <c r="JY36" s="226">
        <f t="shared" si="0"/>
        <v>0</v>
      </c>
      <c r="JZ36" s="223"/>
      <c r="KA36" s="232"/>
      <c r="KB36" s="230">
        <v>1050</v>
      </c>
      <c r="KC36" s="231">
        <v>15.06</v>
      </c>
      <c r="KD36" s="229">
        <f t="shared" si="1"/>
        <v>0</v>
      </c>
      <c r="KE36" s="223"/>
      <c r="KF36" s="125"/>
      <c r="KG36" s="230">
        <v>1050</v>
      </c>
      <c r="KH36" s="233">
        <v>1.2470000000000001</v>
      </c>
      <c r="KI36" s="226">
        <f t="shared" si="2"/>
        <v>0</v>
      </c>
      <c r="KJ36" s="223"/>
      <c r="KK36" s="5"/>
      <c r="KL36" s="156">
        <v>1100</v>
      </c>
      <c r="KM36" s="220">
        <v>4.7080000000000002</v>
      </c>
      <c r="KN36" s="226">
        <f t="shared" si="3"/>
        <v>0</v>
      </c>
      <c r="KO36" s="223"/>
      <c r="KQ36" s="224">
        <v>1050</v>
      </c>
      <c r="KR36" s="225">
        <v>2.323</v>
      </c>
      <c r="KS36" s="226">
        <f t="shared" si="4"/>
        <v>0</v>
      </c>
      <c r="KT36" s="223"/>
      <c r="KU36" s="232"/>
      <c r="KV36" s="230">
        <v>1050</v>
      </c>
      <c r="KW36" s="231">
        <v>15.06</v>
      </c>
      <c r="KX36" s="229">
        <f t="shared" si="5"/>
        <v>0</v>
      </c>
      <c r="KY36" s="223"/>
      <c r="KZ36" s="125"/>
      <c r="LA36" s="230">
        <v>1050</v>
      </c>
      <c r="LB36" s="233">
        <v>1.2470000000000001</v>
      </c>
      <c r="LC36" s="226">
        <f t="shared" si="6"/>
        <v>0</v>
      </c>
      <c r="LD36" s="223"/>
      <c r="LE36" s="5"/>
      <c r="LF36" s="156">
        <v>1100</v>
      </c>
      <c r="LG36" s="220">
        <v>4.7080000000000002</v>
      </c>
      <c r="LH36" s="226">
        <f t="shared" si="7"/>
        <v>0</v>
      </c>
      <c r="LI36" s="223"/>
      <c r="LK36" s="224">
        <v>1050</v>
      </c>
      <c r="LL36" s="225">
        <v>2.323</v>
      </c>
      <c r="LM36" s="226" t="e">
        <f t="shared" si="8"/>
        <v>#REF!</v>
      </c>
      <c r="LN36" s="223"/>
      <c r="LO36" s="232"/>
      <c r="LP36" s="230">
        <v>1050</v>
      </c>
      <c r="LQ36" s="231">
        <v>15.06</v>
      </c>
      <c r="LR36" s="229" t="e">
        <f t="shared" si="9"/>
        <v>#REF!</v>
      </c>
      <c r="LS36" s="223"/>
      <c r="LT36" s="125"/>
      <c r="LU36" s="230">
        <v>1050</v>
      </c>
      <c r="LV36" s="233">
        <v>1.2470000000000001</v>
      </c>
      <c r="LW36" s="226" t="e">
        <f t="shared" si="10"/>
        <v>#REF!</v>
      </c>
      <c r="LX36" s="223"/>
      <c r="LY36" s="5"/>
      <c r="LZ36" s="156">
        <v>1100</v>
      </c>
      <c r="MA36" s="220">
        <v>4.7080000000000002</v>
      </c>
      <c r="MB36" s="226" t="e">
        <f t="shared" si="11"/>
        <v>#REF!</v>
      </c>
      <c r="MC36" s="223"/>
    </row>
    <row r="37" spans="2:341" ht="16" thickBot="1" x14ac:dyDescent="0.25">
      <c r="B37" s="232"/>
      <c r="C37" s="224">
        <v>1100</v>
      </c>
      <c r="D37" s="225">
        <v>2.3580000000000001</v>
      </c>
      <c r="E37" s="226">
        <f t="shared" si="12"/>
        <v>0</v>
      </c>
      <c r="F37" s="223"/>
      <c r="G37" s="232"/>
      <c r="H37" s="230">
        <v>1100</v>
      </c>
      <c r="I37" s="231">
        <v>15.15</v>
      </c>
      <c r="J37" s="229">
        <f t="shared" si="13"/>
        <v>0</v>
      </c>
      <c r="K37" s="223"/>
      <c r="L37" s="125"/>
      <c r="M37" s="230">
        <v>1100</v>
      </c>
      <c r="N37" s="233">
        <v>1.2589999999999999</v>
      </c>
      <c r="O37" s="226">
        <f t="shared" si="14"/>
        <v>0</v>
      </c>
      <c r="P37" s="223"/>
      <c r="Q37" s="5"/>
      <c r="R37" s="230"/>
      <c r="S37" s="233"/>
      <c r="T37" s="226"/>
      <c r="U37" s="223"/>
      <c r="V37" s="237"/>
      <c r="W37" s="224">
        <v>1100</v>
      </c>
      <c r="X37" s="225">
        <v>2.3580000000000001</v>
      </c>
      <c r="Y37" s="226">
        <f t="shared" si="16"/>
        <v>0</v>
      </c>
      <c r="Z37" s="223"/>
      <c r="AA37" s="232"/>
      <c r="AB37" s="230">
        <v>1100</v>
      </c>
      <c r="AC37" s="231">
        <v>15.15</v>
      </c>
      <c r="AD37" s="229">
        <f t="shared" si="17"/>
        <v>0</v>
      </c>
      <c r="AE37" s="223"/>
      <c r="AF37" s="125"/>
      <c r="AG37" s="230">
        <v>1100</v>
      </c>
      <c r="AH37" s="233">
        <v>1.2589999999999999</v>
      </c>
      <c r="AI37" s="226">
        <f t="shared" si="18"/>
        <v>0</v>
      </c>
      <c r="AJ37" s="223"/>
      <c r="AK37" s="5"/>
      <c r="AL37" s="154">
        <v>1100</v>
      </c>
      <c r="AM37" s="219">
        <v>1.2030000000000001</v>
      </c>
      <c r="AN37" s="226">
        <f t="shared" si="19"/>
        <v>0</v>
      </c>
      <c r="AO37" s="223"/>
      <c r="AQ37" s="224">
        <v>1100</v>
      </c>
      <c r="AR37" s="225">
        <v>2.3580000000000001</v>
      </c>
      <c r="AS37" s="226">
        <f t="shared" si="20"/>
        <v>0</v>
      </c>
      <c r="AT37" s="223"/>
      <c r="AU37" s="232"/>
      <c r="AV37" s="230">
        <v>1100</v>
      </c>
      <c r="AW37" s="231">
        <v>15.15</v>
      </c>
      <c r="AX37" s="229">
        <f t="shared" si="21"/>
        <v>0</v>
      </c>
      <c r="AY37" s="223"/>
      <c r="AZ37" s="125"/>
      <c r="BA37" s="230">
        <v>1100</v>
      </c>
      <c r="BB37" s="233">
        <v>1.2589999999999999</v>
      </c>
      <c r="BC37" s="226">
        <f t="shared" si="22"/>
        <v>0</v>
      </c>
      <c r="BD37" s="223"/>
      <c r="BE37" s="5"/>
      <c r="BF37" s="230"/>
      <c r="BG37" s="233"/>
      <c r="BH37" s="226"/>
      <c r="BI37" s="223"/>
      <c r="BK37" s="224">
        <v>1100</v>
      </c>
      <c r="BL37" s="225">
        <v>2.3580000000000001</v>
      </c>
      <c r="BM37" s="226">
        <f t="shared" si="24"/>
        <v>0</v>
      </c>
      <c r="BN37" s="223"/>
      <c r="BO37" s="232"/>
      <c r="BP37" s="230">
        <v>1100</v>
      </c>
      <c r="BQ37" s="231">
        <v>15.15</v>
      </c>
      <c r="BR37" s="229">
        <f t="shared" si="25"/>
        <v>0</v>
      </c>
      <c r="BS37" s="223"/>
      <c r="BT37" s="125"/>
      <c r="BU37" s="230">
        <v>1100</v>
      </c>
      <c r="BV37" s="233">
        <v>1.2589999999999999</v>
      </c>
      <c r="BW37" s="226">
        <f t="shared" si="26"/>
        <v>0</v>
      </c>
      <c r="BX37" s="223"/>
      <c r="BY37" s="5"/>
      <c r="BZ37" s="154">
        <v>1100</v>
      </c>
      <c r="CA37" s="219">
        <v>1.2030000000000001</v>
      </c>
      <c r="CB37" s="226">
        <f t="shared" si="27"/>
        <v>0</v>
      </c>
      <c r="CC37" s="223"/>
      <c r="CE37" s="224">
        <v>1100</v>
      </c>
      <c r="CF37" s="225">
        <v>2.3580000000000001</v>
      </c>
      <c r="CG37" s="226">
        <f t="shared" si="28"/>
        <v>0</v>
      </c>
      <c r="CH37" s="223"/>
      <c r="CI37" s="232"/>
      <c r="CJ37" s="230">
        <v>1100</v>
      </c>
      <c r="CK37" s="231">
        <v>15.15</v>
      </c>
      <c r="CL37" s="229">
        <f t="shared" si="29"/>
        <v>0</v>
      </c>
      <c r="CM37" s="223"/>
      <c r="CN37" s="125"/>
      <c r="CO37" s="230">
        <v>1100</v>
      </c>
      <c r="CP37" s="233">
        <v>1.2589999999999999</v>
      </c>
      <c r="CQ37" s="226">
        <f t="shared" si="30"/>
        <v>0</v>
      </c>
      <c r="CR37" s="223"/>
      <c r="CT37" s="154">
        <v>1100</v>
      </c>
      <c r="CU37" s="219">
        <v>1.2030000000000001</v>
      </c>
      <c r="CV37" s="226">
        <f t="shared" si="31"/>
        <v>0</v>
      </c>
      <c r="CW37" s="223"/>
      <c r="CY37" s="224">
        <v>1100</v>
      </c>
      <c r="CZ37" s="225">
        <v>2.3580000000000001</v>
      </c>
      <c r="DA37" s="226">
        <f t="shared" si="32"/>
        <v>0</v>
      </c>
      <c r="DB37" s="223"/>
      <c r="DC37" s="232"/>
      <c r="DD37" s="230">
        <v>1100</v>
      </c>
      <c r="DE37" s="231">
        <v>15.15</v>
      </c>
      <c r="DF37" s="229">
        <f t="shared" si="33"/>
        <v>0</v>
      </c>
      <c r="DG37" s="223"/>
      <c r="DH37" s="125"/>
      <c r="DI37" s="230">
        <v>1100</v>
      </c>
      <c r="DJ37" s="233">
        <v>1.2589999999999999</v>
      </c>
      <c r="DK37" s="226">
        <f t="shared" si="34"/>
        <v>0</v>
      </c>
      <c r="DL37" s="223"/>
      <c r="DN37" s="154">
        <v>1100</v>
      </c>
      <c r="DO37" s="219">
        <v>1.2030000000000001</v>
      </c>
      <c r="DP37" s="226">
        <f t="shared" si="35"/>
        <v>0</v>
      </c>
      <c r="DQ37" s="223"/>
      <c r="DS37" s="224">
        <v>1100</v>
      </c>
      <c r="DT37" s="225">
        <v>2.3580000000000001</v>
      </c>
      <c r="DU37" s="226">
        <f t="shared" si="36"/>
        <v>0</v>
      </c>
      <c r="DV37" s="223"/>
      <c r="DW37" s="232"/>
      <c r="DX37" s="230">
        <v>1100</v>
      </c>
      <c r="DY37" s="231">
        <v>15.15</v>
      </c>
      <c r="DZ37" s="229">
        <f t="shared" si="37"/>
        <v>0</v>
      </c>
      <c r="EA37" s="223"/>
      <c r="EB37" s="125"/>
      <c r="EC37" s="230">
        <v>1100</v>
      </c>
      <c r="ED37" s="233">
        <v>1.2589999999999999</v>
      </c>
      <c r="EE37" s="226">
        <f t="shared" si="38"/>
        <v>0</v>
      </c>
      <c r="EF37" s="223"/>
      <c r="EH37" s="154">
        <v>1100</v>
      </c>
      <c r="EI37" s="219">
        <v>1.2030000000000001</v>
      </c>
      <c r="EJ37" s="226">
        <f t="shared" si="39"/>
        <v>0</v>
      </c>
      <c r="EK37" s="223"/>
      <c r="EM37" s="230">
        <v>1100</v>
      </c>
      <c r="EN37" s="233">
        <v>1.2589999999999999</v>
      </c>
      <c r="EO37" s="226">
        <f t="shared" si="40"/>
        <v>0</v>
      </c>
      <c r="EP37" s="223"/>
      <c r="EQ37" s="232"/>
      <c r="ER37" s="224"/>
      <c r="ES37" s="224"/>
      <c r="ET37" s="389"/>
      <c r="EU37" s="5"/>
      <c r="EV37" s="125"/>
      <c r="EW37" s="230">
        <v>1100</v>
      </c>
      <c r="EX37" s="233">
        <v>1.2589999999999999</v>
      </c>
      <c r="EY37" s="226">
        <f t="shared" si="41"/>
        <v>0</v>
      </c>
      <c r="EZ37" s="223"/>
      <c r="FA37" s="232"/>
      <c r="FB37" s="224"/>
      <c r="FC37" s="224"/>
      <c r="FD37" s="389"/>
      <c r="FE37" s="5"/>
      <c r="FG37" s="224">
        <v>1100</v>
      </c>
      <c r="FH37" s="225">
        <v>2.3580000000000001</v>
      </c>
      <c r="FI37" s="226">
        <f t="shared" si="42"/>
        <v>0</v>
      </c>
      <c r="FJ37" s="223"/>
      <c r="FK37" s="232"/>
      <c r="FL37" s="230">
        <v>1100</v>
      </c>
      <c r="FM37" s="231">
        <v>15.15</v>
      </c>
      <c r="FN37" s="229">
        <f t="shared" si="43"/>
        <v>0</v>
      </c>
      <c r="FO37" s="223"/>
      <c r="FP37" s="125"/>
      <c r="FQ37" s="230">
        <v>1100</v>
      </c>
      <c r="FR37" s="233">
        <v>1.2589999999999999</v>
      </c>
      <c r="FS37" s="226">
        <f t="shared" si="44"/>
        <v>0</v>
      </c>
      <c r="FT37" s="223"/>
      <c r="FV37" s="154">
        <v>1100</v>
      </c>
      <c r="FW37" s="219">
        <v>1.2030000000000001</v>
      </c>
      <c r="FX37" s="226">
        <f t="shared" si="45"/>
        <v>0</v>
      </c>
      <c r="FY37" s="223"/>
      <c r="GA37" s="224">
        <v>1100</v>
      </c>
      <c r="GB37" s="225">
        <v>2.3580000000000001</v>
      </c>
      <c r="GC37" s="226">
        <f t="shared" si="46"/>
        <v>0</v>
      </c>
      <c r="GD37" s="223"/>
      <c r="GE37" s="232"/>
      <c r="GF37" s="230">
        <v>1100</v>
      </c>
      <c r="GG37" s="231">
        <v>15.15</v>
      </c>
      <c r="GH37" s="229">
        <f t="shared" si="47"/>
        <v>0</v>
      </c>
      <c r="GI37" s="223"/>
      <c r="GJ37" s="125"/>
      <c r="GK37" s="230">
        <v>1100</v>
      </c>
      <c r="GL37" s="233">
        <v>1.2589999999999999</v>
      </c>
      <c r="GM37" s="226">
        <f t="shared" si="48"/>
        <v>0</v>
      </c>
      <c r="GN37" s="223"/>
      <c r="GP37" s="154">
        <v>1100</v>
      </c>
      <c r="GQ37" s="219">
        <v>1.2030000000000001</v>
      </c>
      <c r="GR37" s="226">
        <f t="shared" si="49"/>
        <v>0</v>
      </c>
      <c r="GS37" s="223"/>
      <c r="GU37" s="224">
        <v>1100</v>
      </c>
      <c r="GV37" s="225">
        <v>2.3580000000000001</v>
      </c>
      <c r="GW37" s="226">
        <f t="shared" si="50"/>
        <v>0</v>
      </c>
      <c r="GX37" s="223"/>
      <c r="GY37" s="232"/>
      <c r="GZ37" s="230">
        <v>1100</v>
      </c>
      <c r="HA37" s="231">
        <v>15.15</v>
      </c>
      <c r="HB37" s="229">
        <f t="shared" si="51"/>
        <v>0</v>
      </c>
      <c r="HC37" s="223"/>
      <c r="HD37" s="125"/>
      <c r="HE37" s="230">
        <v>1100</v>
      </c>
      <c r="HF37" s="233">
        <v>1.2589999999999999</v>
      </c>
      <c r="HG37" s="226">
        <f t="shared" si="52"/>
        <v>0</v>
      </c>
      <c r="HH37" s="223"/>
      <c r="HI37" s="5"/>
      <c r="HJ37" s="230"/>
      <c r="HK37" s="233"/>
      <c r="HL37" s="226"/>
      <c r="HM37" s="223"/>
      <c r="HO37" s="224">
        <v>1100</v>
      </c>
      <c r="HP37" s="225">
        <v>2.3580000000000001</v>
      </c>
      <c r="HQ37" s="226">
        <f t="shared" si="54"/>
        <v>0</v>
      </c>
      <c r="HR37" s="223"/>
      <c r="HS37" s="232"/>
      <c r="HT37" s="230">
        <v>1100</v>
      </c>
      <c r="HU37" s="231">
        <v>15.15</v>
      </c>
      <c r="HV37" s="229">
        <f t="shared" si="55"/>
        <v>0</v>
      </c>
      <c r="HW37" s="223"/>
      <c r="HX37" s="125"/>
      <c r="HY37" s="230">
        <v>1100</v>
      </c>
      <c r="HZ37" s="233">
        <v>1.2589999999999999</v>
      </c>
      <c r="IA37" s="226">
        <f t="shared" si="56"/>
        <v>0</v>
      </c>
      <c r="IB37" s="223"/>
      <c r="IC37" s="5"/>
      <c r="ID37" s="230"/>
      <c r="IE37" s="233"/>
      <c r="IF37" s="226"/>
      <c r="IG37" s="223"/>
      <c r="II37" s="224">
        <v>1100</v>
      </c>
      <c r="IJ37" s="225">
        <v>2.3580000000000001</v>
      </c>
      <c r="IK37" s="226">
        <f t="shared" si="58"/>
        <v>0</v>
      </c>
      <c r="IL37" s="223"/>
      <c r="IM37" s="232"/>
      <c r="IN37" s="230">
        <v>1100</v>
      </c>
      <c r="IO37" s="231">
        <v>15.15</v>
      </c>
      <c r="IP37" s="229">
        <f t="shared" si="59"/>
        <v>0</v>
      </c>
      <c r="IQ37" s="223"/>
      <c r="IR37" s="125"/>
      <c r="IS37" s="230">
        <v>1100</v>
      </c>
      <c r="IT37" s="233">
        <v>1.2589999999999999</v>
      </c>
      <c r="IU37" s="226">
        <f t="shared" si="60"/>
        <v>0</v>
      </c>
      <c r="IV37" s="223"/>
      <c r="IW37" s="5"/>
      <c r="IX37" s="230"/>
      <c r="IY37" s="233"/>
      <c r="IZ37" s="226"/>
      <c r="JA37" s="223"/>
      <c r="JC37" s="224">
        <v>1100</v>
      </c>
      <c r="JD37" s="225">
        <v>2.3580000000000001</v>
      </c>
      <c r="JE37" s="226">
        <f t="shared" si="62"/>
        <v>0</v>
      </c>
      <c r="JF37" s="223"/>
      <c r="JG37" s="232"/>
      <c r="JH37" s="230">
        <v>1100</v>
      </c>
      <c r="JI37" s="231">
        <v>15.15</v>
      </c>
      <c r="JJ37" s="229">
        <f t="shared" si="63"/>
        <v>0</v>
      </c>
      <c r="JK37" s="223"/>
      <c r="JL37" s="125"/>
      <c r="JM37" s="230">
        <v>1100</v>
      </c>
      <c r="JN37" s="233">
        <v>1.2589999999999999</v>
      </c>
      <c r="JO37" s="226">
        <f t="shared" si="64"/>
        <v>0</v>
      </c>
      <c r="JP37" s="223"/>
      <c r="JQ37" s="5"/>
      <c r="JR37" s="230"/>
      <c r="JS37" s="233"/>
      <c r="JT37" s="226"/>
      <c r="JU37" s="223"/>
      <c r="JW37" s="224">
        <v>1100</v>
      </c>
      <c r="JX37" s="225">
        <v>2.3580000000000001</v>
      </c>
      <c r="JY37" s="226">
        <f t="shared" si="0"/>
        <v>0</v>
      </c>
      <c r="JZ37" s="223"/>
      <c r="KA37" s="232"/>
      <c r="KB37" s="230">
        <v>1100</v>
      </c>
      <c r="KC37" s="231">
        <v>15.15</v>
      </c>
      <c r="KD37" s="229">
        <f t="shared" si="1"/>
        <v>0</v>
      </c>
      <c r="KE37" s="223"/>
      <c r="KF37" s="125"/>
      <c r="KG37" s="230">
        <v>1100</v>
      </c>
      <c r="KH37" s="233">
        <v>1.2589999999999999</v>
      </c>
      <c r="KI37" s="226">
        <f t="shared" si="2"/>
        <v>0</v>
      </c>
      <c r="KJ37" s="223"/>
      <c r="KK37" s="5"/>
      <c r="KL37" s="230"/>
      <c r="KM37" s="233"/>
      <c r="KN37" s="226"/>
      <c r="KO37" s="223"/>
      <c r="KQ37" s="224">
        <v>1100</v>
      </c>
      <c r="KR37" s="225">
        <v>2.3580000000000001</v>
      </c>
      <c r="KS37" s="226">
        <f t="shared" si="4"/>
        <v>0</v>
      </c>
      <c r="KT37" s="223"/>
      <c r="KU37" s="232"/>
      <c r="KV37" s="230">
        <v>1100</v>
      </c>
      <c r="KW37" s="231">
        <v>15.15</v>
      </c>
      <c r="KX37" s="229">
        <f t="shared" si="5"/>
        <v>0</v>
      </c>
      <c r="KY37" s="223"/>
      <c r="KZ37" s="125"/>
      <c r="LA37" s="230">
        <v>1100</v>
      </c>
      <c r="LB37" s="233">
        <v>1.2589999999999999</v>
      </c>
      <c r="LC37" s="226">
        <f t="shared" si="6"/>
        <v>0</v>
      </c>
      <c r="LD37" s="223"/>
      <c r="LE37" s="5"/>
      <c r="LF37" s="230"/>
      <c r="LG37" s="233"/>
      <c r="LH37" s="226"/>
      <c r="LI37" s="223"/>
      <c r="LK37" s="224">
        <v>1100</v>
      </c>
      <c r="LL37" s="225">
        <v>2.3580000000000001</v>
      </c>
      <c r="LM37" s="226" t="e">
        <f t="shared" si="8"/>
        <v>#REF!</v>
      </c>
      <c r="LN37" s="223"/>
      <c r="LO37" s="232"/>
      <c r="LP37" s="230">
        <v>1100</v>
      </c>
      <c r="LQ37" s="231">
        <v>15.15</v>
      </c>
      <c r="LR37" s="229" t="e">
        <f t="shared" si="9"/>
        <v>#REF!</v>
      </c>
      <c r="LS37" s="223"/>
      <c r="LT37" s="125"/>
      <c r="LU37" s="230">
        <v>1100</v>
      </c>
      <c r="LV37" s="233">
        <v>1.2589999999999999</v>
      </c>
      <c r="LW37" s="226" t="e">
        <f t="shared" si="10"/>
        <v>#REF!</v>
      </c>
      <c r="LX37" s="223"/>
      <c r="LY37" s="5"/>
      <c r="LZ37" s="230"/>
      <c r="MA37" s="233"/>
      <c r="MB37" s="226"/>
      <c r="MC37" s="223"/>
    </row>
    <row r="38" spans="2:341" ht="16" thickBot="1" x14ac:dyDescent="0.25">
      <c r="B38" s="125"/>
      <c r="C38" s="224">
        <v>1150</v>
      </c>
      <c r="D38" s="225">
        <v>2.3919999999999999</v>
      </c>
      <c r="E38" s="226">
        <f t="shared" si="12"/>
        <v>0</v>
      </c>
      <c r="F38" s="223"/>
      <c r="G38" s="125"/>
      <c r="H38" s="230">
        <v>1150</v>
      </c>
      <c r="I38" s="231">
        <v>15.25</v>
      </c>
      <c r="J38" s="229">
        <f t="shared" si="13"/>
        <v>0</v>
      </c>
      <c r="K38" s="223"/>
      <c r="L38" s="125"/>
      <c r="M38" s="230">
        <v>1150</v>
      </c>
      <c r="N38" s="233">
        <v>1.27</v>
      </c>
      <c r="O38" s="226">
        <f t="shared" si="14"/>
        <v>0</v>
      </c>
      <c r="P38" s="223"/>
      <c r="Q38" s="5"/>
      <c r="R38" s="230"/>
      <c r="S38" s="233"/>
      <c r="T38" s="226"/>
      <c r="U38" s="223"/>
      <c r="V38" s="5"/>
      <c r="W38" s="224">
        <v>1150</v>
      </c>
      <c r="X38" s="225">
        <v>2.3919999999999999</v>
      </c>
      <c r="Y38" s="226">
        <f t="shared" si="16"/>
        <v>0</v>
      </c>
      <c r="Z38" s="223"/>
      <c r="AA38" s="125"/>
      <c r="AB38" s="230">
        <v>1150</v>
      </c>
      <c r="AC38" s="231">
        <v>15.25</v>
      </c>
      <c r="AD38" s="229">
        <f t="shared" si="17"/>
        <v>0</v>
      </c>
      <c r="AE38" s="223"/>
      <c r="AF38" s="125"/>
      <c r="AG38" s="230">
        <v>1150</v>
      </c>
      <c r="AH38" s="233">
        <v>1.27</v>
      </c>
      <c r="AI38" s="226">
        <f t="shared" si="18"/>
        <v>0</v>
      </c>
      <c r="AJ38" s="223"/>
      <c r="AK38" s="5"/>
      <c r="AL38" s="154">
        <v>1150</v>
      </c>
      <c r="AM38" s="219">
        <v>1.212</v>
      </c>
      <c r="AN38" s="226">
        <f t="shared" si="19"/>
        <v>0</v>
      </c>
      <c r="AO38" s="223"/>
      <c r="AQ38" s="224">
        <v>1150</v>
      </c>
      <c r="AR38" s="225">
        <v>2.3919999999999999</v>
      </c>
      <c r="AS38" s="226">
        <f t="shared" si="20"/>
        <v>0</v>
      </c>
      <c r="AT38" s="223"/>
      <c r="AU38" s="125"/>
      <c r="AV38" s="230">
        <v>1150</v>
      </c>
      <c r="AW38" s="231">
        <v>15.25</v>
      </c>
      <c r="AX38" s="229">
        <f t="shared" si="21"/>
        <v>0</v>
      </c>
      <c r="AY38" s="223"/>
      <c r="AZ38" s="125"/>
      <c r="BA38" s="230">
        <v>1150</v>
      </c>
      <c r="BB38" s="233">
        <v>1.27</v>
      </c>
      <c r="BC38" s="226">
        <f t="shared" si="22"/>
        <v>0</v>
      </c>
      <c r="BD38" s="223"/>
      <c r="BE38" s="5"/>
      <c r="BF38" s="230"/>
      <c r="BG38" s="233"/>
      <c r="BH38" s="226"/>
      <c r="BI38" s="223"/>
      <c r="BK38" s="224">
        <v>1150</v>
      </c>
      <c r="BL38" s="225">
        <v>2.3919999999999999</v>
      </c>
      <c r="BM38" s="226">
        <f t="shared" si="24"/>
        <v>0</v>
      </c>
      <c r="BN38" s="223"/>
      <c r="BO38" s="125"/>
      <c r="BP38" s="230">
        <v>1150</v>
      </c>
      <c r="BQ38" s="231">
        <v>15.25</v>
      </c>
      <c r="BR38" s="229">
        <f t="shared" si="25"/>
        <v>0</v>
      </c>
      <c r="BS38" s="223"/>
      <c r="BT38" s="125"/>
      <c r="BU38" s="230">
        <v>1150</v>
      </c>
      <c r="BV38" s="233">
        <v>1.27</v>
      </c>
      <c r="BW38" s="226">
        <f t="shared" si="26"/>
        <v>0</v>
      </c>
      <c r="BX38" s="223"/>
      <c r="BY38" s="5"/>
      <c r="BZ38" s="154">
        <v>1150</v>
      </c>
      <c r="CA38" s="219">
        <v>1.212</v>
      </c>
      <c r="CB38" s="226">
        <f t="shared" si="27"/>
        <v>0</v>
      </c>
      <c r="CC38" s="223"/>
      <c r="CE38" s="224">
        <v>1150</v>
      </c>
      <c r="CF38" s="225">
        <v>2.3919999999999999</v>
      </c>
      <c r="CG38" s="226">
        <f t="shared" si="28"/>
        <v>0</v>
      </c>
      <c r="CH38" s="223"/>
      <c r="CI38" s="125"/>
      <c r="CJ38" s="230">
        <v>1150</v>
      </c>
      <c r="CK38" s="231">
        <v>15.25</v>
      </c>
      <c r="CL38" s="229">
        <f t="shared" si="29"/>
        <v>0</v>
      </c>
      <c r="CM38" s="223"/>
      <c r="CN38" s="125"/>
      <c r="CO38" s="230">
        <v>1150</v>
      </c>
      <c r="CP38" s="233">
        <v>1.27</v>
      </c>
      <c r="CQ38" s="226">
        <f t="shared" si="30"/>
        <v>0</v>
      </c>
      <c r="CR38" s="223"/>
      <c r="CT38" s="154">
        <v>1150</v>
      </c>
      <c r="CU38" s="219">
        <v>1.212</v>
      </c>
      <c r="CV38" s="226">
        <f t="shared" si="31"/>
        <v>0</v>
      </c>
      <c r="CW38" s="223"/>
      <c r="CY38" s="224">
        <v>1150</v>
      </c>
      <c r="CZ38" s="225">
        <v>2.3919999999999999</v>
      </c>
      <c r="DA38" s="226">
        <f t="shared" si="32"/>
        <v>0</v>
      </c>
      <c r="DB38" s="223"/>
      <c r="DC38" s="125"/>
      <c r="DD38" s="230">
        <v>1150</v>
      </c>
      <c r="DE38" s="231">
        <v>15.25</v>
      </c>
      <c r="DF38" s="229">
        <f t="shared" si="33"/>
        <v>0</v>
      </c>
      <c r="DG38" s="223"/>
      <c r="DH38" s="125"/>
      <c r="DI38" s="230">
        <v>1150</v>
      </c>
      <c r="DJ38" s="233">
        <v>1.27</v>
      </c>
      <c r="DK38" s="226">
        <f t="shared" si="34"/>
        <v>0</v>
      </c>
      <c r="DL38" s="223"/>
      <c r="DN38" s="154">
        <v>1150</v>
      </c>
      <c r="DO38" s="219">
        <v>1.212</v>
      </c>
      <c r="DP38" s="226">
        <f t="shared" si="35"/>
        <v>0</v>
      </c>
      <c r="DQ38" s="223"/>
      <c r="DS38" s="224">
        <v>1150</v>
      </c>
      <c r="DT38" s="225">
        <v>2.3919999999999999</v>
      </c>
      <c r="DU38" s="226">
        <f t="shared" si="36"/>
        <v>0</v>
      </c>
      <c r="DV38" s="223"/>
      <c r="DW38" s="125"/>
      <c r="DX38" s="230">
        <v>1150</v>
      </c>
      <c r="DY38" s="231">
        <v>15.25</v>
      </c>
      <c r="DZ38" s="229">
        <f t="shared" si="37"/>
        <v>0</v>
      </c>
      <c r="EA38" s="223"/>
      <c r="EB38" s="125"/>
      <c r="EC38" s="230">
        <v>1150</v>
      </c>
      <c r="ED38" s="233">
        <v>1.27</v>
      </c>
      <c r="EE38" s="226">
        <f t="shared" si="38"/>
        <v>0</v>
      </c>
      <c r="EF38" s="223"/>
      <c r="EH38" s="154">
        <v>1150</v>
      </c>
      <c r="EI38" s="219">
        <v>1.212</v>
      </c>
      <c r="EJ38" s="226">
        <f t="shared" si="39"/>
        <v>0</v>
      </c>
      <c r="EK38" s="223"/>
      <c r="EM38" s="230">
        <v>1150</v>
      </c>
      <c r="EN38" s="233">
        <v>1.27</v>
      </c>
      <c r="EO38" s="226">
        <f t="shared" si="40"/>
        <v>0</v>
      </c>
      <c r="EP38" s="223"/>
      <c r="EQ38" s="125"/>
      <c r="ER38" s="224"/>
      <c r="ES38" s="224"/>
      <c r="ET38" s="389"/>
      <c r="EU38" s="5"/>
      <c r="EV38" s="125"/>
      <c r="EW38" s="230">
        <v>1150</v>
      </c>
      <c r="EX38" s="233">
        <v>1.27</v>
      </c>
      <c r="EY38" s="226">
        <f t="shared" si="41"/>
        <v>0</v>
      </c>
      <c r="EZ38" s="223"/>
      <c r="FA38" s="125"/>
      <c r="FB38" s="224"/>
      <c r="FC38" s="224"/>
      <c r="FD38" s="389"/>
      <c r="FE38" s="5"/>
      <c r="FG38" s="224">
        <v>1150</v>
      </c>
      <c r="FH38" s="225">
        <v>2.3919999999999999</v>
      </c>
      <c r="FI38" s="226">
        <f t="shared" si="42"/>
        <v>0</v>
      </c>
      <c r="FJ38" s="223"/>
      <c r="FK38" s="125"/>
      <c r="FL38" s="230">
        <v>1150</v>
      </c>
      <c r="FM38" s="231">
        <v>15.25</v>
      </c>
      <c r="FN38" s="229">
        <f t="shared" si="43"/>
        <v>0</v>
      </c>
      <c r="FO38" s="223"/>
      <c r="FP38" s="125"/>
      <c r="FQ38" s="230">
        <v>1150</v>
      </c>
      <c r="FR38" s="233">
        <v>1.27</v>
      </c>
      <c r="FS38" s="226">
        <f t="shared" si="44"/>
        <v>0</v>
      </c>
      <c r="FT38" s="223"/>
      <c r="FV38" s="154">
        <v>1150</v>
      </c>
      <c r="FW38" s="219">
        <v>1.212</v>
      </c>
      <c r="FX38" s="226">
        <f t="shared" si="45"/>
        <v>0</v>
      </c>
      <c r="FY38" s="223"/>
      <c r="GA38" s="224">
        <v>1150</v>
      </c>
      <c r="GB38" s="225">
        <v>2.3919999999999999</v>
      </c>
      <c r="GC38" s="226">
        <f t="shared" si="46"/>
        <v>0</v>
      </c>
      <c r="GD38" s="223"/>
      <c r="GE38" s="125"/>
      <c r="GF38" s="230">
        <v>1150</v>
      </c>
      <c r="GG38" s="231">
        <v>15.25</v>
      </c>
      <c r="GH38" s="229">
        <f t="shared" si="47"/>
        <v>0</v>
      </c>
      <c r="GI38" s="223"/>
      <c r="GJ38" s="125"/>
      <c r="GK38" s="230">
        <v>1150</v>
      </c>
      <c r="GL38" s="233">
        <v>1.27</v>
      </c>
      <c r="GM38" s="226">
        <f t="shared" si="48"/>
        <v>0</v>
      </c>
      <c r="GN38" s="223"/>
      <c r="GP38" s="154">
        <v>1150</v>
      </c>
      <c r="GQ38" s="219">
        <v>1.212</v>
      </c>
      <c r="GR38" s="226">
        <f t="shared" si="49"/>
        <v>0</v>
      </c>
      <c r="GS38" s="223"/>
      <c r="GU38" s="224">
        <v>1150</v>
      </c>
      <c r="GV38" s="225">
        <v>2.3919999999999999</v>
      </c>
      <c r="GW38" s="226">
        <f t="shared" si="50"/>
        <v>0</v>
      </c>
      <c r="GX38" s="223"/>
      <c r="GY38" s="125"/>
      <c r="GZ38" s="230">
        <v>1150</v>
      </c>
      <c r="HA38" s="231">
        <v>15.25</v>
      </c>
      <c r="HB38" s="229">
        <f t="shared" si="51"/>
        <v>0</v>
      </c>
      <c r="HC38" s="223"/>
      <c r="HD38" s="125"/>
      <c r="HE38" s="230">
        <v>1150</v>
      </c>
      <c r="HF38" s="233">
        <v>1.27</v>
      </c>
      <c r="HG38" s="226">
        <f t="shared" si="52"/>
        <v>0</v>
      </c>
      <c r="HH38" s="223"/>
      <c r="HI38" s="5"/>
      <c r="HJ38" s="230"/>
      <c r="HK38" s="233"/>
      <c r="HL38" s="226"/>
      <c r="HM38" s="223"/>
      <c r="HO38" s="224">
        <v>1150</v>
      </c>
      <c r="HP38" s="225">
        <v>2.3919999999999999</v>
      </c>
      <c r="HQ38" s="226">
        <f t="shared" si="54"/>
        <v>0</v>
      </c>
      <c r="HR38" s="223"/>
      <c r="HS38" s="125"/>
      <c r="HT38" s="230">
        <v>1150</v>
      </c>
      <c r="HU38" s="231">
        <v>15.25</v>
      </c>
      <c r="HV38" s="229">
        <f t="shared" si="55"/>
        <v>0</v>
      </c>
      <c r="HW38" s="223"/>
      <c r="HX38" s="125"/>
      <c r="HY38" s="230">
        <v>1150</v>
      </c>
      <c r="HZ38" s="233">
        <v>1.27</v>
      </c>
      <c r="IA38" s="226">
        <f t="shared" si="56"/>
        <v>0</v>
      </c>
      <c r="IB38" s="223"/>
      <c r="IC38" s="5"/>
      <c r="ID38" s="230"/>
      <c r="IE38" s="233"/>
      <c r="IF38" s="226"/>
      <c r="IG38" s="223"/>
      <c r="II38" s="224">
        <v>1150</v>
      </c>
      <c r="IJ38" s="225">
        <v>2.3919999999999999</v>
      </c>
      <c r="IK38" s="226">
        <f t="shared" si="58"/>
        <v>0</v>
      </c>
      <c r="IL38" s="223"/>
      <c r="IM38" s="125"/>
      <c r="IN38" s="230">
        <v>1150</v>
      </c>
      <c r="IO38" s="231">
        <v>15.25</v>
      </c>
      <c r="IP38" s="229">
        <f t="shared" si="59"/>
        <v>0</v>
      </c>
      <c r="IQ38" s="223"/>
      <c r="IR38" s="125"/>
      <c r="IS38" s="230">
        <v>1150</v>
      </c>
      <c r="IT38" s="233">
        <v>1.27</v>
      </c>
      <c r="IU38" s="226">
        <f t="shared" si="60"/>
        <v>0</v>
      </c>
      <c r="IV38" s="223"/>
      <c r="IW38" s="5"/>
      <c r="IX38" s="230"/>
      <c r="IY38" s="233"/>
      <c r="IZ38" s="226"/>
      <c r="JA38" s="223"/>
      <c r="JC38" s="224">
        <v>1150</v>
      </c>
      <c r="JD38" s="225">
        <v>2.3919999999999999</v>
      </c>
      <c r="JE38" s="226">
        <f t="shared" si="62"/>
        <v>0</v>
      </c>
      <c r="JF38" s="223"/>
      <c r="JG38" s="125"/>
      <c r="JH38" s="230">
        <v>1150</v>
      </c>
      <c r="JI38" s="231">
        <v>15.25</v>
      </c>
      <c r="JJ38" s="229">
        <f t="shared" si="63"/>
        <v>0</v>
      </c>
      <c r="JK38" s="223"/>
      <c r="JL38" s="125"/>
      <c r="JM38" s="230">
        <v>1150</v>
      </c>
      <c r="JN38" s="233">
        <v>1.27</v>
      </c>
      <c r="JO38" s="226">
        <f t="shared" si="64"/>
        <v>0</v>
      </c>
      <c r="JP38" s="223"/>
      <c r="JQ38" s="5"/>
      <c r="JR38" s="230"/>
      <c r="JS38" s="233"/>
      <c r="JT38" s="226"/>
      <c r="JU38" s="223"/>
      <c r="JW38" s="224">
        <v>1150</v>
      </c>
      <c r="JX38" s="225">
        <v>2.3919999999999999</v>
      </c>
      <c r="JY38" s="226">
        <f t="shared" si="0"/>
        <v>0</v>
      </c>
      <c r="JZ38" s="223"/>
      <c r="KA38" s="125"/>
      <c r="KB38" s="230">
        <v>1150</v>
      </c>
      <c r="KC38" s="231">
        <v>15.25</v>
      </c>
      <c r="KD38" s="229">
        <f t="shared" si="1"/>
        <v>0</v>
      </c>
      <c r="KE38" s="223"/>
      <c r="KF38" s="125"/>
      <c r="KG38" s="230">
        <v>1150</v>
      </c>
      <c r="KH38" s="233">
        <v>1.27</v>
      </c>
      <c r="KI38" s="226">
        <f t="shared" si="2"/>
        <v>0</v>
      </c>
      <c r="KJ38" s="223"/>
      <c r="KK38" s="5"/>
      <c r="KL38" s="230"/>
      <c r="KM38" s="233"/>
      <c r="KN38" s="226"/>
      <c r="KO38" s="223"/>
      <c r="KQ38" s="224">
        <v>1150</v>
      </c>
      <c r="KR38" s="225">
        <v>2.3919999999999999</v>
      </c>
      <c r="KS38" s="226">
        <f t="shared" si="4"/>
        <v>0</v>
      </c>
      <c r="KT38" s="223"/>
      <c r="KU38" s="125"/>
      <c r="KV38" s="230">
        <v>1150</v>
      </c>
      <c r="KW38" s="231">
        <v>15.25</v>
      </c>
      <c r="KX38" s="229">
        <f t="shared" si="5"/>
        <v>0</v>
      </c>
      <c r="KY38" s="223"/>
      <c r="KZ38" s="125"/>
      <c r="LA38" s="230">
        <v>1150</v>
      </c>
      <c r="LB38" s="233">
        <v>1.27</v>
      </c>
      <c r="LC38" s="226">
        <f t="shared" si="6"/>
        <v>0</v>
      </c>
      <c r="LD38" s="223"/>
      <c r="LE38" s="5"/>
      <c r="LF38" s="230"/>
      <c r="LG38" s="233"/>
      <c r="LH38" s="226"/>
      <c r="LI38" s="223"/>
      <c r="LK38" s="224">
        <v>1150</v>
      </c>
      <c r="LL38" s="225">
        <v>2.3919999999999999</v>
      </c>
      <c r="LM38" s="226" t="e">
        <f t="shared" si="8"/>
        <v>#REF!</v>
      </c>
      <c r="LN38" s="223"/>
      <c r="LO38" s="125"/>
      <c r="LP38" s="230">
        <v>1150</v>
      </c>
      <c r="LQ38" s="231">
        <v>15.25</v>
      </c>
      <c r="LR38" s="229" t="e">
        <f t="shared" si="9"/>
        <v>#REF!</v>
      </c>
      <c r="LS38" s="223"/>
      <c r="LT38" s="125"/>
      <c r="LU38" s="230">
        <v>1150</v>
      </c>
      <c r="LV38" s="233">
        <v>1.27</v>
      </c>
      <c r="LW38" s="226" t="e">
        <f t="shared" si="10"/>
        <v>#REF!</v>
      </c>
      <c r="LX38" s="223"/>
      <c r="LY38" s="5"/>
      <c r="LZ38" s="230"/>
      <c r="MA38" s="233"/>
      <c r="MB38" s="226"/>
      <c r="MC38" s="223"/>
    </row>
    <row r="39" spans="2:341" ht="16" thickBot="1" x14ac:dyDescent="0.25">
      <c r="B39" s="125"/>
      <c r="C39" s="224">
        <v>1200</v>
      </c>
      <c r="D39" s="225">
        <v>2.4249999999999998</v>
      </c>
      <c r="E39" s="226">
        <f t="shared" si="12"/>
        <v>0</v>
      </c>
      <c r="F39" s="223"/>
      <c r="G39" s="125"/>
      <c r="H39" s="230">
        <v>1200</v>
      </c>
      <c r="I39" s="231">
        <v>15.34</v>
      </c>
      <c r="J39" s="229">
        <f t="shared" si="13"/>
        <v>0</v>
      </c>
      <c r="K39" s="223"/>
      <c r="L39" s="125"/>
      <c r="M39" s="230">
        <v>1200</v>
      </c>
      <c r="N39" s="233">
        <v>1.28</v>
      </c>
      <c r="O39" s="226">
        <f t="shared" si="14"/>
        <v>0</v>
      </c>
      <c r="P39" s="223"/>
      <c r="Q39" s="5"/>
      <c r="R39" s="230"/>
      <c r="S39" s="233"/>
      <c r="T39" s="226"/>
      <c r="U39" s="223"/>
      <c r="V39" s="5"/>
      <c r="W39" s="224">
        <v>1200</v>
      </c>
      <c r="X39" s="225">
        <v>2.4249999999999998</v>
      </c>
      <c r="Y39" s="226">
        <f t="shared" si="16"/>
        <v>0</v>
      </c>
      <c r="Z39" s="223"/>
      <c r="AA39" s="125"/>
      <c r="AB39" s="230">
        <v>1200</v>
      </c>
      <c r="AC39" s="231">
        <v>15.34</v>
      </c>
      <c r="AD39" s="229">
        <f t="shared" si="17"/>
        <v>0</v>
      </c>
      <c r="AE39" s="223"/>
      <c r="AF39" s="125"/>
      <c r="AG39" s="230">
        <v>1200</v>
      </c>
      <c r="AH39" s="233">
        <v>1.28</v>
      </c>
      <c r="AI39" s="226">
        <f t="shared" si="18"/>
        <v>0</v>
      </c>
      <c r="AJ39" s="223"/>
      <c r="AK39" s="5"/>
      <c r="AL39" s="154">
        <v>1200</v>
      </c>
      <c r="AM39" s="219">
        <v>1.22</v>
      </c>
      <c r="AN39" s="226">
        <f t="shared" si="19"/>
        <v>0</v>
      </c>
      <c r="AO39" s="223"/>
      <c r="AQ39" s="224">
        <v>1200</v>
      </c>
      <c r="AR39" s="225">
        <v>2.4249999999999998</v>
      </c>
      <c r="AS39" s="226">
        <f t="shared" si="20"/>
        <v>0</v>
      </c>
      <c r="AT39" s="223"/>
      <c r="AU39" s="125"/>
      <c r="AV39" s="230">
        <v>1200</v>
      </c>
      <c r="AW39" s="231">
        <v>15.34</v>
      </c>
      <c r="AX39" s="229">
        <f t="shared" si="21"/>
        <v>0</v>
      </c>
      <c r="AY39" s="223"/>
      <c r="AZ39" s="125"/>
      <c r="BA39" s="230">
        <v>1200</v>
      </c>
      <c r="BB39" s="233">
        <v>1.28</v>
      </c>
      <c r="BC39" s="226">
        <f t="shared" si="22"/>
        <v>0</v>
      </c>
      <c r="BD39" s="223"/>
      <c r="BE39" s="5"/>
      <c r="BF39" s="230"/>
      <c r="BG39" s="233"/>
      <c r="BH39" s="226"/>
      <c r="BI39" s="223"/>
      <c r="BK39" s="224">
        <v>1200</v>
      </c>
      <c r="BL39" s="225">
        <v>2.4249999999999998</v>
      </c>
      <c r="BM39" s="226">
        <f t="shared" si="24"/>
        <v>0</v>
      </c>
      <c r="BN39" s="223"/>
      <c r="BO39" s="125"/>
      <c r="BP39" s="230">
        <v>1200</v>
      </c>
      <c r="BQ39" s="231">
        <v>15.34</v>
      </c>
      <c r="BR39" s="229">
        <f t="shared" si="25"/>
        <v>0</v>
      </c>
      <c r="BS39" s="223"/>
      <c r="BT39" s="125"/>
      <c r="BU39" s="230">
        <v>1200</v>
      </c>
      <c r="BV39" s="233">
        <v>1.28</v>
      </c>
      <c r="BW39" s="226">
        <f t="shared" si="26"/>
        <v>0</v>
      </c>
      <c r="BX39" s="223"/>
      <c r="BY39" s="5"/>
      <c r="BZ39" s="154">
        <v>1200</v>
      </c>
      <c r="CA39" s="219">
        <v>1.22</v>
      </c>
      <c r="CB39" s="226">
        <f t="shared" si="27"/>
        <v>0</v>
      </c>
      <c r="CC39" s="223"/>
      <c r="CE39" s="224">
        <v>1200</v>
      </c>
      <c r="CF39" s="225">
        <v>2.4249999999999998</v>
      </c>
      <c r="CG39" s="226">
        <f t="shared" si="28"/>
        <v>0</v>
      </c>
      <c r="CH39" s="223"/>
      <c r="CI39" s="125"/>
      <c r="CJ39" s="230">
        <v>1200</v>
      </c>
      <c r="CK39" s="231">
        <v>15.34</v>
      </c>
      <c r="CL39" s="229">
        <f t="shared" si="29"/>
        <v>0</v>
      </c>
      <c r="CM39" s="223"/>
      <c r="CN39" s="125"/>
      <c r="CO39" s="230">
        <v>1200</v>
      </c>
      <c r="CP39" s="233">
        <v>1.28</v>
      </c>
      <c r="CQ39" s="226">
        <f t="shared" si="30"/>
        <v>0</v>
      </c>
      <c r="CR39" s="223"/>
      <c r="CT39" s="154">
        <v>1200</v>
      </c>
      <c r="CU39" s="219">
        <v>1.22</v>
      </c>
      <c r="CV39" s="226">
        <f t="shared" si="31"/>
        <v>0</v>
      </c>
      <c r="CW39" s="223"/>
      <c r="CY39" s="224">
        <v>1200</v>
      </c>
      <c r="CZ39" s="225">
        <v>2.4249999999999998</v>
      </c>
      <c r="DA39" s="226">
        <f t="shared" si="32"/>
        <v>0</v>
      </c>
      <c r="DB39" s="223"/>
      <c r="DC39" s="125"/>
      <c r="DD39" s="230">
        <v>1200</v>
      </c>
      <c r="DE39" s="231">
        <v>15.34</v>
      </c>
      <c r="DF39" s="229">
        <f t="shared" si="33"/>
        <v>0</v>
      </c>
      <c r="DG39" s="223"/>
      <c r="DH39" s="125"/>
      <c r="DI39" s="230">
        <v>1200</v>
      </c>
      <c r="DJ39" s="233">
        <v>1.28</v>
      </c>
      <c r="DK39" s="226">
        <f t="shared" si="34"/>
        <v>0</v>
      </c>
      <c r="DL39" s="223"/>
      <c r="DN39" s="154">
        <v>1200</v>
      </c>
      <c r="DO39" s="219">
        <v>1.22</v>
      </c>
      <c r="DP39" s="226">
        <f t="shared" si="35"/>
        <v>0</v>
      </c>
      <c r="DQ39" s="223"/>
      <c r="DS39" s="224">
        <v>1200</v>
      </c>
      <c r="DT39" s="225">
        <v>2.4249999999999998</v>
      </c>
      <c r="DU39" s="226">
        <f t="shared" si="36"/>
        <v>0</v>
      </c>
      <c r="DV39" s="223"/>
      <c r="DW39" s="125"/>
      <c r="DX39" s="230">
        <v>1200</v>
      </c>
      <c r="DY39" s="231">
        <v>15.34</v>
      </c>
      <c r="DZ39" s="229">
        <f t="shared" si="37"/>
        <v>0</v>
      </c>
      <c r="EA39" s="223"/>
      <c r="EB39" s="125"/>
      <c r="EC39" s="230">
        <v>1200</v>
      </c>
      <c r="ED39" s="233">
        <v>1.28</v>
      </c>
      <c r="EE39" s="226">
        <f t="shared" si="38"/>
        <v>0</v>
      </c>
      <c r="EF39" s="223"/>
      <c r="EH39" s="154">
        <v>1200</v>
      </c>
      <c r="EI39" s="219">
        <v>1.22</v>
      </c>
      <c r="EJ39" s="226">
        <f t="shared" si="39"/>
        <v>0</v>
      </c>
      <c r="EK39" s="223"/>
      <c r="EM39" s="230">
        <v>1200</v>
      </c>
      <c r="EN39" s="233">
        <v>1.28</v>
      </c>
      <c r="EO39" s="226">
        <f t="shared" si="40"/>
        <v>0</v>
      </c>
      <c r="EP39" s="223"/>
      <c r="EQ39" s="125"/>
      <c r="ER39" s="224"/>
      <c r="ES39" s="224"/>
      <c r="ET39" s="389"/>
      <c r="EU39" s="5"/>
      <c r="EV39" s="125"/>
      <c r="EW39" s="230">
        <v>1200</v>
      </c>
      <c r="EX39" s="233">
        <v>1.28</v>
      </c>
      <c r="EY39" s="226">
        <f t="shared" si="41"/>
        <v>0</v>
      </c>
      <c r="EZ39" s="223"/>
      <c r="FA39" s="125"/>
      <c r="FB39" s="224"/>
      <c r="FC39" s="224"/>
      <c r="FD39" s="389"/>
      <c r="FE39" s="5"/>
      <c r="FG39" s="224">
        <v>1200</v>
      </c>
      <c r="FH39" s="225">
        <v>2.4249999999999998</v>
      </c>
      <c r="FI39" s="226">
        <f t="shared" si="42"/>
        <v>0</v>
      </c>
      <c r="FJ39" s="223"/>
      <c r="FK39" s="125"/>
      <c r="FL39" s="230">
        <v>1200</v>
      </c>
      <c r="FM39" s="231">
        <v>15.34</v>
      </c>
      <c r="FN39" s="229">
        <f t="shared" si="43"/>
        <v>0</v>
      </c>
      <c r="FO39" s="223"/>
      <c r="FP39" s="125"/>
      <c r="FQ39" s="230">
        <v>1200</v>
      </c>
      <c r="FR39" s="233">
        <v>1.28</v>
      </c>
      <c r="FS39" s="226">
        <f t="shared" si="44"/>
        <v>0</v>
      </c>
      <c r="FT39" s="223"/>
      <c r="FV39" s="154">
        <v>1200</v>
      </c>
      <c r="FW39" s="219">
        <v>1.22</v>
      </c>
      <c r="FX39" s="226">
        <f t="shared" si="45"/>
        <v>0</v>
      </c>
      <c r="FY39" s="223"/>
      <c r="GA39" s="224">
        <v>1200</v>
      </c>
      <c r="GB39" s="225">
        <v>2.4249999999999998</v>
      </c>
      <c r="GC39" s="226">
        <f t="shared" si="46"/>
        <v>0</v>
      </c>
      <c r="GD39" s="223"/>
      <c r="GE39" s="125"/>
      <c r="GF39" s="230">
        <v>1200</v>
      </c>
      <c r="GG39" s="231">
        <v>15.34</v>
      </c>
      <c r="GH39" s="229">
        <f t="shared" si="47"/>
        <v>0</v>
      </c>
      <c r="GI39" s="223"/>
      <c r="GJ39" s="125"/>
      <c r="GK39" s="230">
        <v>1200</v>
      </c>
      <c r="GL39" s="233">
        <v>1.28</v>
      </c>
      <c r="GM39" s="226">
        <f t="shared" si="48"/>
        <v>0</v>
      </c>
      <c r="GN39" s="223"/>
      <c r="GP39" s="154">
        <v>1200</v>
      </c>
      <c r="GQ39" s="219">
        <v>1.22</v>
      </c>
      <c r="GR39" s="226">
        <f t="shared" si="49"/>
        <v>0</v>
      </c>
      <c r="GS39" s="223"/>
      <c r="GU39" s="224">
        <v>1200</v>
      </c>
      <c r="GV39" s="225">
        <v>2.4249999999999998</v>
      </c>
      <c r="GW39" s="226">
        <f t="shared" si="50"/>
        <v>0</v>
      </c>
      <c r="GX39" s="223"/>
      <c r="GY39" s="125"/>
      <c r="GZ39" s="230">
        <v>1200</v>
      </c>
      <c r="HA39" s="231">
        <v>15.34</v>
      </c>
      <c r="HB39" s="229">
        <f t="shared" si="51"/>
        <v>0</v>
      </c>
      <c r="HC39" s="223"/>
      <c r="HD39" s="125"/>
      <c r="HE39" s="230">
        <v>1200</v>
      </c>
      <c r="HF39" s="233">
        <v>1.28</v>
      </c>
      <c r="HG39" s="226">
        <f t="shared" si="52"/>
        <v>0</v>
      </c>
      <c r="HH39" s="223"/>
      <c r="HI39" s="5"/>
      <c r="HJ39" s="230"/>
      <c r="HK39" s="233"/>
      <c r="HL39" s="226"/>
      <c r="HM39" s="223"/>
      <c r="HO39" s="224">
        <v>1200</v>
      </c>
      <c r="HP39" s="225">
        <v>2.4249999999999998</v>
      </c>
      <c r="HQ39" s="226">
        <f t="shared" si="54"/>
        <v>0</v>
      </c>
      <c r="HR39" s="223"/>
      <c r="HS39" s="125"/>
      <c r="HT39" s="230">
        <v>1200</v>
      </c>
      <c r="HU39" s="231">
        <v>15.34</v>
      </c>
      <c r="HV39" s="229">
        <f t="shared" si="55"/>
        <v>0</v>
      </c>
      <c r="HW39" s="223"/>
      <c r="HX39" s="125"/>
      <c r="HY39" s="230">
        <v>1200</v>
      </c>
      <c r="HZ39" s="233">
        <v>1.28</v>
      </c>
      <c r="IA39" s="226">
        <f t="shared" si="56"/>
        <v>0</v>
      </c>
      <c r="IB39" s="223"/>
      <c r="IC39" s="5"/>
      <c r="ID39" s="230"/>
      <c r="IE39" s="233"/>
      <c r="IF39" s="226"/>
      <c r="IG39" s="223"/>
      <c r="II39" s="224">
        <v>1200</v>
      </c>
      <c r="IJ39" s="225">
        <v>2.4249999999999998</v>
      </c>
      <c r="IK39" s="226">
        <f t="shared" si="58"/>
        <v>0</v>
      </c>
      <c r="IL39" s="223"/>
      <c r="IM39" s="125"/>
      <c r="IN39" s="230">
        <v>1200</v>
      </c>
      <c r="IO39" s="231">
        <v>15.34</v>
      </c>
      <c r="IP39" s="229">
        <f t="shared" si="59"/>
        <v>0</v>
      </c>
      <c r="IQ39" s="223"/>
      <c r="IR39" s="125"/>
      <c r="IS39" s="230">
        <v>1200</v>
      </c>
      <c r="IT39" s="233">
        <v>1.28</v>
      </c>
      <c r="IU39" s="226">
        <f t="shared" si="60"/>
        <v>0</v>
      </c>
      <c r="IV39" s="223"/>
      <c r="IW39" s="5"/>
      <c r="IX39" s="230"/>
      <c r="IY39" s="233"/>
      <c r="IZ39" s="226"/>
      <c r="JA39" s="223"/>
      <c r="JC39" s="224">
        <v>1200</v>
      </c>
      <c r="JD39" s="225">
        <v>2.4249999999999998</v>
      </c>
      <c r="JE39" s="226">
        <f t="shared" si="62"/>
        <v>0</v>
      </c>
      <c r="JF39" s="223"/>
      <c r="JG39" s="125"/>
      <c r="JH39" s="230">
        <v>1200</v>
      </c>
      <c r="JI39" s="231">
        <v>15.34</v>
      </c>
      <c r="JJ39" s="229">
        <f t="shared" si="63"/>
        <v>0</v>
      </c>
      <c r="JK39" s="223"/>
      <c r="JL39" s="125"/>
      <c r="JM39" s="230">
        <v>1200</v>
      </c>
      <c r="JN39" s="233">
        <v>1.28</v>
      </c>
      <c r="JO39" s="226">
        <f t="shared" si="64"/>
        <v>0</v>
      </c>
      <c r="JP39" s="223"/>
      <c r="JQ39" s="5"/>
      <c r="JR39" s="230"/>
      <c r="JS39" s="233"/>
      <c r="JT39" s="226"/>
      <c r="JU39" s="223"/>
      <c r="JW39" s="224">
        <v>1200</v>
      </c>
      <c r="JX39" s="225">
        <v>2.4249999999999998</v>
      </c>
      <c r="JY39" s="226">
        <f t="shared" si="0"/>
        <v>0</v>
      </c>
      <c r="JZ39" s="223"/>
      <c r="KA39" s="125"/>
      <c r="KB39" s="230">
        <v>1200</v>
      </c>
      <c r="KC39" s="231">
        <v>15.34</v>
      </c>
      <c r="KD39" s="229">
        <f t="shared" si="1"/>
        <v>0</v>
      </c>
      <c r="KE39" s="223"/>
      <c r="KF39" s="125"/>
      <c r="KG39" s="230">
        <v>1200</v>
      </c>
      <c r="KH39" s="233">
        <v>1.28</v>
      </c>
      <c r="KI39" s="226">
        <f t="shared" si="2"/>
        <v>0</v>
      </c>
      <c r="KJ39" s="223"/>
      <c r="KK39" s="5"/>
      <c r="KL39" s="230"/>
      <c r="KM39" s="233"/>
      <c r="KN39" s="226"/>
      <c r="KO39" s="223"/>
      <c r="KQ39" s="224">
        <v>1200</v>
      </c>
      <c r="KR39" s="225">
        <v>2.4249999999999998</v>
      </c>
      <c r="KS39" s="226">
        <f t="shared" si="4"/>
        <v>0</v>
      </c>
      <c r="KT39" s="223"/>
      <c r="KU39" s="125"/>
      <c r="KV39" s="230">
        <v>1200</v>
      </c>
      <c r="KW39" s="231">
        <v>15.34</v>
      </c>
      <c r="KX39" s="229">
        <f t="shared" si="5"/>
        <v>0</v>
      </c>
      <c r="KY39" s="223"/>
      <c r="KZ39" s="125"/>
      <c r="LA39" s="230">
        <v>1200</v>
      </c>
      <c r="LB39" s="233">
        <v>1.28</v>
      </c>
      <c r="LC39" s="226">
        <f t="shared" si="6"/>
        <v>0</v>
      </c>
      <c r="LD39" s="223"/>
      <c r="LE39" s="5"/>
      <c r="LF39" s="230"/>
      <c r="LG39" s="233"/>
      <c r="LH39" s="226"/>
      <c r="LI39" s="223"/>
      <c r="LK39" s="224">
        <v>1200</v>
      </c>
      <c r="LL39" s="225">
        <v>2.4249999999999998</v>
      </c>
      <c r="LM39" s="226" t="e">
        <f t="shared" si="8"/>
        <v>#REF!</v>
      </c>
      <c r="LN39" s="223"/>
      <c r="LO39" s="125"/>
      <c r="LP39" s="230">
        <v>1200</v>
      </c>
      <c r="LQ39" s="231">
        <v>15.34</v>
      </c>
      <c r="LR39" s="229" t="e">
        <f t="shared" si="9"/>
        <v>#REF!</v>
      </c>
      <c r="LS39" s="223"/>
      <c r="LT39" s="125"/>
      <c r="LU39" s="230">
        <v>1200</v>
      </c>
      <c r="LV39" s="233">
        <v>1.28</v>
      </c>
      <c r="LW39" s="226" t="e">
        <f t="shared" si="10"/>
        <v>#REF!</v>
      </c>
      <c r="LX39" s="223"/>
      <c r="LY39" s="5"/>
      <c r="LZ39" s="230"/>
      <c r="MA39" s="233"/>
      <c r="MB39" s="226"/>
      <c r="MC39" s="223"/>
    </row>
    <row r="40" spans="2:341" ht="16" thickBot="1" x14ac:dyDescent="0.25">
      <c r="B40" s="125"/>
      <c r="C40" s="224">
        <v>1250</v>
      </c>
      <c r="D40" s="225">
        <v>2.4580000000000002</v>
      </c>
      <c r="E40" s="226">
        <f t="shared" si="12"/>
        <v>0</v>
      </c>
      <c r="F40" s="223"/>
      <c r="G40" s="125"/>
      <c r="H40" s="230">
        <v>1250</v>
      </c>
      <c r="I40" s="231">
        <v>15.44</v>
      </c>
      <c r="J40" s="229">
        <f t="shared" si="13"/>
        <v>0</v>
      </c>
      <c r="K40" s="223"/>
      <c r="L40" s="125"/>
      <c r="M40" s="230">
        <v>1250</v>
      </c>
      <c r="N40" s="233">
        <v>1.29</v>
      </c>
      <c r="O40" s="226">
        <f t="shared" si="14"/>
        <v>0</v>
      </c>
      <c r="P40" s="223"/>
      <c r="Q40" s="5"/>
      <c r="R40" s="230"/>
      <c r="S40" s="233"/>
      <c r="T40" s="226"/>
      <c r="U40" s="223"/>
      <c r="V40" s="5"/>
      <c r="W40" s="224">
        <v>1250</v>
      </c>
      <c r="X40" s="225">
        <v>2.4580000000000002</v>
      </c>
      <c r="Y40" s="226">
        <f t="shared" si="16"/>
        <v>0</v>
      </c>
      <c r="Z40" s="223"/>
      <c r="AA40" s="125"/>
      <c r="AB40" s="230">
        <v>1250</v>
      </c>
      <c r="AC40" s="231">
        <v>15.44</v>
      </c>
      <c r="AD40" s="229">
        <f t="shared" si="17"/>
        <v>0</v>
      </c>
      <c r="AE40" s="223"/>
      <c r="AF40" s="125"/>
      <c r="AG40" s="230">
        <v>1250</v>
      </c>
      <c r="AH40" s="233">
        <v>1.29</v>
      </c>
      <c r="AI40" s="226">
        <f t="shared" si="18"/>
        <v>0</v>
      </c>
      <c r="AJ40" s="223"/>
      <c r="AK40" s="5"/>
      <c r="AL40" s="154">
        <v>1250</v>
      </c>
      <c r="AM40" s="219">
        <v>1.2270000000000001</v>
      </c>
      <c r="AN40" s="226">
        <f t="shared" si="19"/>
        <v>0</v>
      </c>
      <c r="AO40" s="223"/>
      <c r="AQ40" s="224">
        <v>1250</v>
      </c>
      <c r="AR40" s="225">
        <v>2.4580000000000002</v>
      </c>
      <c r="AS40" s="226">
        <f t="shared" si="20"/>
        <v>0</v>
      </c>
      <c r="AT40" s="223"/>
      <c r="AU40" s="125"/>
      <c r="AV40" s="230">
        <v>1250</v>
      </c>
      <c r="AW40" s="231">
        <v>15.44</v>
      </c>
      <c r="AX40" s="229">
        <f t="shared" si="21"/>
        <v>0</v>
      </c>
      <c r="AY40" s="223"/>
      <c r="AZ40" s="125"/>
      <c r="BA40" s="230">
        <v>1250</v>
      </c>
      <c r="BB40" s="233">
        <v>1.29</v>
      </c>
      <c r="BC40" s="226">
        <f t="shared" si="22"/>
        <v>0</v>
      </c>
      <c r="BD40" s="223"/>
      <c r="BE40" s="5"/>
      <c r="BF40" s="230"/>
      <c r="BG40" s="233"/>
      <c r="BH40" s="226"/>
      <c r="BI40" s="223"/>
      <c r="BK40" s="224">
        <v>1250</v>
      </c>
      <c r="BL40" s="225">
        <v>2.4580000000000002</v>
      </c>
      <c r="BM40" s="226">
        <f t="shared" si="24"/>
        <v>0</v>
      </c>
      <c r="BN40" s="223"/>
      <c r="BO40" s="125"/>
      <c r="BP40" s="230">
        <v>1250</v>
      </c>
      <c r="BQ40" s="231">
        <v>15.44</v>
      </c>
      <c r="BR40" s="229">
        <f t="shared" si="25"/>
        <v>0</v>
      </c>
      <c r="BS40" s="223"/>
      <c r="BT40" s="125"/>
      <c r="BU40" s="230">
        <v>1250</v>
      </c>
      <c r="BV40" s="233">
        <v>1.29</v>
      </c>
      <c r="BW40" s="226">
        <f t="shared" si="26"/>
        <v>0</v>
      </c>
      <c r="BX40" s="223"/>
      <c r="BY40" s="5"/>
      <c r="BZ40" s="154">
        <v>1250</v>
      </c>
      <c r="CA40" s="219">
        <v>1.2270000000000001</v>
      </c>
      <c r="CB40" s="226">
        <f t="shared" si="27"/>
        <v>0</v>
      </c>
      <c r="CC40" s="223"/>
      <c r="CE40" s="224">
        <v>1250</v>
      </c>
      <c r="CF40" s="225">
        <v>2.4580000000000002</v>
      </c>
      <c r="CG40" s="226">
        <f t="shared" si="28"/>
        <v>0</v>
      </c>
      <c r="CH40" s="223"/>
      <c r="CI40" s="125"/>
      <c r="CJ40" s="230">
        <v>1250</v>
      </c>
      <c r="CK40" s="231">
        <v>15.44</v>
      </c>
      <c r="CL40" s="229">
        <f t="shared" si="29"/>
        <v>0</v>
      </c>
      <c r="CM40" s="223"/>
      <c r="CN40" s="125"/>
      <c r="CO40" s="230">
        <v>1250</v>
      </c>
      <c r="CP40" s="233">
        <v>1.29</v>
      </c>
      <c r="CQ40" s="226">
        <f t="shared" si="30"/>
        <v>0</v>
      </c>
      <c r="CR40" s="223"/>
      <c r="CT40" s="154">
        <v>1250</v>
      </c>
      <c r="CU40" s="219">
        <v>1.2270000000000001</v>
      </c>
      <c r="CV40" s="226">
        <f t="shared" si="31"/>
        <v>0</v>
      </c>
      <c r="CW40" s="223"/>
      <c r="CY40" s="224">
        <v>1250</v>
      </c>
      <c r="CZ40" s="225">
        <v>2.4580000000000002</v>
      </c>
      <c r="DA40" s="226">
        <f t="shared" si="32"/>
        <v>0</v>
      </c>
      <c r="DB40" s="223"/>
      <c r="DC40" s="125"/>
      <c r="DD40" s="230">
        <v>1250</v>
      </c>
      <c r="DE40" s="231">
        <v>15.44</v>
      </c>
      <c r="DF40" s="229">
        <f t="shared" si="33"/>
        <v>0</v>
      </c>
      <c r="DG40" s="223"/>
      <c r="DH40" s="125"/>
      <c r="DI40" s="230">
        <v>1250</v>
      </c>
      <c r="DJ40" s="233">
        <v>1.29</v>
      </c>
      <c r="DK40" s="226">
        <f t="shared" si="34"/>
        <v>0</v>
      </c>
      <c r="DL40" s="223"/>
      <c r="DN40" s="154">
        <v>1250</v>
      </c>
      <c r="DO40" s="219">
        <v>1.2270000000000001</v>
      </c>
      <c r="DP40" s="226">
        <f t="shared" si="35"/>
        <v>0</v>
      </c>
      <c r="DQ40" s="223"/>
      <c r="DS40" s="224">
        <v>1250</v>
      </c>
      <c r="DT40" s="225">
        <v>2.4580000000000002</v>
      </c>
      <c r="DU40" s="226">
        <f t="shared" si="36"/>
        <v>0</v>
      </c>
      <c r="DV40" s="223"/>
      <c r="DW40" s="125"/>
      <c r="DX40" s="230">
        <v>1250</v>
      </c>
      <c r="DY40" s="231">
        <v>15.44</v>
      </c>
      <c r="DZ40" s="229">
        <f t="shared" si="37"/>
        <v>0</v>
      </c>
      <c r="EA40" s="223"/>
      <c r="EB40" s="125"/>
      <c r="EC40" s="230">
        <v>1250</v>
      </c>
      <c r="ED40" s="233">
        <v>1.29</v>
      </c>
      <c r="EE40" s="226">
        <f t="shared" si="38"/>
        <v>0</v>
      </c>
      <c r="EF40" s="223"/>
      <c r="EH40" s="154">
        <v>1250</v>
      </c>
      <c r="EI40" s="219">
        <v>1.2270000000000001</v>
      </c>
      <c r="EJ40" s="226">
        <f t="shared" si="39"/>
        <v>0</v>
      </c>
      <c r="EK40" s="223"/>
      <c r="EM40" s="230">
        <v>1250</v>
      </c>
      <c r="EN40" s="233">
        <v>1.29</v>
      </c>
      <c r="EO40" s="226">
        <f t="shared" si="40"/>
        <v>0</v>
      </c>
      <c r="EP40" s="223"/>
      <c r="EQ40" s="125"/>
      <c r="ER40" s="224"/>
      <c r="ES40" s="224"/>
      <c r="ET40" s="389"/>
      <c r="EU40" s="5"/>
      <c r="EV40" s="125"/>
      <c r="EW40" s="230">
        <v>1250</v>
      </c>
      <c r="EX40" s="233">
        <v>1.29</v>
      </c>
      <c r="EY40" s="226">
        <f t="shared" si="41"/>
        <v>0</v>
      </c>
      <c r="EZ40" s="223"/>
      <c r="FA40" s="125"/>
      <c r="FB40" s="224"/>
      <c r="FC40" s="224"/>
      <c r="FD40" s="389"/>
      <c r="FE40" s="5"/>
      <c r="FG40" s="224">
        <v>1250</v>
      </c>
      <c r="FH40" s="225">
        <v>2.4580000000000002</v>
      </c>
      <c r="FI40" s="226">
        <f t="shared" si="42"/>
        <v>0</v>
      </c>
      <c r="FJ40" s="223"/>
      <c r="FK40" s="125"/>
      <c r="FL40" s="230">
        <v>1250</v>
      </c>
      <c r="FM40" s="231">
        <v>15.44</v>
      </c>
      <c r="FN40" s="229">
        <f t="shared" si="43"/>
        <v>0</v>
      </c>
      <c r="FO40" s="223"/>
      <c r="FP40" s="125"/>
      <c r="FQ40" s="230">
        <v>1250</v>
      </c>
      <c r="FR40" s="233">
        <v>1.29</v>
      </c>
      <c r="FS40" s="226">
        <f t="shared" si="44"/>
        <v>0</v>
      </c>
      <c r="FT40" s="223"/>
      <c r="FV40" s="154">
        <v>1250</v>
      </c>
      <c r="FW40" s="219">
        <v>1.2270000000000001</v>
      </c>
      <c r="FX40" s="226">
        <f t="shared" si="45"/>
        <v>0</v>
      </c>
      <c r="FY40" s="223"/>
      <c r="GA40" s="224">
        <v>1250</v>
      </c>
      <c r="GB40" s="225">
        <v>2.4580000000000002</v>
      </c>
      <c r="GC40" s="226">
        <f t="shared" si="46"/>
        <v>0</v>
      </c>
      <c r="GD40" s="223"/>
      <c r="GE40" s="125"/>
      <c r="GF40" s="230">
        <v>1250</v>
      </c>
      <c r="GG40" s="231">
        <v>15.44</v>
      </c>
      <c r="GH40" s="229">
        <f t="shared" si="47"/>
        <v>0</v>
      </c>
      <c r="GI40" s="223"/>
      <c r="GJ40" s="125"/>
      <c r="GK40" s="230">
        <v>1250</v>
      </c>
      <c r="GL40" s="233">
        <v>1.29</v>
      </c>
      <c r="GM40" s="226">
        <f t="shared" si="48"/>
        <v>0</v>
      </c>
      <c r="GN40" s="223"/>
      <c r="GP40" s="154">
        <v>1250</v>
      </c>
      <c r="GQ40" s="219">
        <v>1.2270000000000001</v>
      </c>
      <c r="GR40" s="226">
        <f t="shared" si="49"/>
        <v>0</v>
      </c>
      <c r="GS40" s="223"/>
      <c r="GU40" s="224">
        <v>1250</v>
      </c>
      <c r="GV40" s="225">
        <v>2.4580000000000002</v>
      </c>
      <c r="GW40" s="226">
        <f t="shared" si="50"/>
        <v>0</v>
      </c>
      <c r="GX40" s="223"/>
      <c r="GY40" s="125"/>
      <c r="GZ40" s="230">
        <v>1250</v>
      </c>
      <c r="HA40" s="231">
        <v>15.44</v>
      </c>
      <c r="HB40" s="229">
        <f t="shared" si="51"/>
        <v>0</v>
      </c>
      <c r="HC40" s="223"/>
      <c r="HD40" s="125"/>
      <c r="HE40" s="230">
        <v>1250</v>
      </c>
      <c r="HF40" s="233">
        <v>1.29</v>
      </c>
      <c r="HG40" s="226">
        <f t="shared" si="52"/>
        <v>0</v>
      </c>
      <c r="HH40" s="223"/>
      <c r="HI40" s="5"/>
      <c r="HJ40" s="230"/>
      <c r="HK40" s="233"/>
      <c r="HL40" s="226"/>
      <c r="HM40" s="223"/>
      <c r="HO40" s="224">
        <v>1250</v>
      </c>
      <c r="HP40" s="225">
        <v>2.4580000000000002</v>
      </c>
      <c r="HQ40" s="226">
        <f t="shared" si="54"/>
        <v>0</v>
      </c>
      <c r="HR40" s="223"/>
      <c r="HS40" s="125"/>
      <c r="HT40" s="230">
        <v>1250</v>
      </c>
      <c r="HU40" s="231">
        <v>15.44</v>
      </c>
      <c r="HV40" s="229">
        <f t="shared" si="55"/>
        <v>0</v>
      </c>
      <c r="HW40" s="223"/>
      <c r="HX40" s="125"/>
      <c r="HY40" s="230">
        <v>1250</v>
      </c>
      <c r="HZ40" s="233">
        <v>1.29</v>
      </c>
      <c r="IA40" s="226">
        <f t="shared" si="56"/>
        <v>0</v>
      </c>
      <c r="IB40" s="223"/>
      <c r="IC40" s="5"/>
      <c r="ID40" s="230"/>
      <c r="IE40" s="233"/>
      <c r="IF40" s="226"/>
      <c r="IG40" s="223"/>
      <c r="II40" s="224">
        <v>1250</v>
      </c>
      <c r="IJ40" s="225">
        <v>2.4580000000000002</v>
      </c>
      <c r="IK40" s="226">
        <f t="shared" si="58"/>
        <v>0</v>
      </c>
      <c r="IL40" s="223"/>
      <c r="IM40" s="125"/>
      <c r="IN40" s="230">
        <v>1250</v>
      </c>
      <c r="IO40" s="231">
        <v>15.44</v>
      </c>
      <c r="IP40" s="229">
        <f t="shared" si="59"/>
        <v>0</v>
      </c>
      <c r="IQ40" s="223"/>
      <c r="IR40" s="125"/>
      <c r="IS40" s="230">
        <v>1250</v>
      </c>
      <c r="IT40" s="233">
        <v>1.29</v>
      </c>
      <c r="IU40" s="226">
        <f t="shared" si="60"/>
        <v>0</v>
      </c>
      <c r="IV40" s="223"/>
      <c r="IW40" s="5"/>
      <c r="IX40" s="230"/>
      <c r="IY40" s="233"/>
      <c r="IZ40" s="226"/>
      <c r="JA40" s="223"/>
      <c r="JC40" s="224">
        <v>1250</v>
      </c>
      <c r="JD40" s="225">
        <v>2.4580000000000002</v>
      </c>
      <c r="JE40" s="226">
        <f t="shared" si="62"/>
        <v>0</v>
      </c>
      <c r="JF40" s="223"/>
      <c r="JG40" s="125"/>
      <c r="JH40" s="230">
        <v>1250</v>
      </c>
      <c r="JI40" s="231">
        <v>15.44</v>
      </c>
      <c r="JJ40" s="229">
        <f t="shared" si="63"/>
        <v>0</v>
      </c>
      <c r="JK40" s="223"/>
      <c r="JL40" s="125"/>
      <c r="JM40" s="230">
        <v>1250</v>
      </c>
      <c r="JN40" s="233">
        <v>1.29</v>
      </c>
      <c r="JO40" s="226">
        <f t="shared" si="64"/>
        <v>0</v>
      </c>
      <c r="JP40" s="223"/>
      <c r="JQ40" s="5"/>
      <c r="JR40" s="230"/>
      <c r="JS40" s="233"/>
      <c r="JT40" s="226"/>
      <c r="JU40" s="223"/>
      <c r="JW40" s="224">
        <v>1250</v>
      </c>
      <c r="JX40" s="225">
        <v>2.4580000000000002</v>
      </c>
      <c r="JY40" s="226">
        <f t="shared" si="0"/>
        <v>0</v>
      </c>
      <c r="JZ40" s="223"/>
      <c r="KA40" s="125"/>
      <c r="KB40" s="230">
        <v>1250</v>
      </c>
      <c r="KC40" s="231">
        <v>15.44</v>
      </c>
      <c r="KD40" s="229">
        <f t="shared" si="1"/>
        <v>0</v>
      </c>
      <c r="KE40" s="223"/>
      <c r="KF40" s="125"/>
      <c r="KG40" s="230">
        <v>1250</v>
      </c>
      <c r="KH40" s="233">
        <v>1.29</v>
      </c>
      <c r="KI40" s="226">
        <f t="shared" si="2"/>
        <v>0</v>
      </c>
      <c r="KJ40" s="223"/>
      <c r="KK40" s="5"/>
      <c r="KL40" s="230"/>
      <c r="KM40" s="233"/>
      <c r="KN40" s="226"/>
      <c r="KO40" s="223"/>
      <c r="KQ40" s="224">
        <v>1250</v>
      </c>
      <c r="KR40" s="225">
        <v>2.4580000000000002</v>
      </c>
      <c r="KS40" s="226">
        <f t="shared" si="4"/>
        <v>0</v>
      </c>
      <c r="KT40" s="223"/>
      <c r="KU40" s="125"/>
      <c r="KV40" s="230">
        <v>1250</v>
      </c>
      <c r="KW40" s="231">
        <v>15.44</v>
      </c>
      <c r="KX40" s="229">
        <f t="shared" si="5"/>
        <v>0</v>
      </c>
      <c r="KY40" s="223"/>
      <c r="KZ40" s="125"/>
      <c r="LA40" s="230">
        <v>1250</v>
      </c>
      <c r="LB40" s="233">
        <v>1.29</v>
      </c>
      <c r="LC40" s="226">
        <f t="shared" si="6"/>
        <v>0</v>
      </c>
      <c r="LD40" s="223"/>
      <c r="LE40" s="5"/>
      <c r="LF40" s="230"/>
      <c r="LG40" s="233"/>
      <c r="LH40" s="226"/>
      <c r="LI40" s="223"/>
      <c r="LK40" s="224">
        <v>1250</v>
      </c>
      <c r="LL40" s="225">
        <v>2.4580000000000002</v>
      </c>
      <c r="LM40" s="226" t="e">
        <f t="shared" si="8"/>
        <v>#REF!</v>
      </c>
      <c r="LN40" s="223"/>
      <c r="LO40" s="125"/>
      <c r="LP40" s="230">
        <v>1250</v>
      </c>
      <c r="LQ40" s="231">
        <v>15.44</v>
      </c>
      <c r="LR40" s="229" t="e">
        <f t="shared" si="9"/>
        <v>#REF!</v>
      </c>
      <c r="LS40" s="223"/>
      <c r="LT40" s="125"/>
      <c r="LU40" s="230">
        <v>1250</v>
      </c>
      <c r="LV40" s="233">
        <v>1.29</v>
      </c>
      <c r="LW40" s="226" t="e">
        <f t="shared" si="10"/>
        <v>#REF!</v>
      </c>
      <c r="LX40" s="223"/>
      <c r="LY40" s="5"/>
      <c r="LZ40" s="230"/>
      <c r="MA40" s="233"/>
      <c r="MB40" s="226"/>
      <c r="MC40" s="223"/>
    </row>
    <row r="41" spans="2:341" ht="16" thickBot="1" x14ac:dyDescent="0.25">
      <c r="B41" s="125"/>
      <c r="C41" s="224">
        <v>1300</v>
      </c>
      <c r="D41" s="225">
        <v>2.4900000000000002</v>
      </c>
      <c r="E41" s="226">
        <f t="shared" si="12"/>
        <v>0</v>
      </c>
      <c r="F41" s="223"/>
      <c r="G41" s="125"/>
      <c r="H41" s="230">
        <v>1300</v>
      </c>
      <c r="I41" s="231">
        <v>15.54</v>
      </c>
      <c r="J41" s="229">
        <f t="shared" si="13"/>
        <v>0</v>
      </c>
      <c r="K41" s="223"/>
      <c r="L41" s="125"/>
      <c r="M41" s="230">
        <v>1300</v>
      </c>
      <c r="N41" s="233">
        <v>1.298</v>
      </c>
      <c r="O41" s="226">
        <f t="shared" si="14"/>
        <v>0</v>
      </c>
      <c r="P41" s="223"/>
      <c r="Q41" s="5"/>
      <c r="R41" s="230"/>
      <c r="S41" s="233"/>
      <c r="T41" s="226"/>
      <c r="U41" s="223"/>
      <c r="V41" s="5"/>
      <c r="W41" s="224">
        <v>1300</v>
      </c>
      <c r="X41" s="225">
        <v>2.4900000000000002</v>
      </c>
      <c r="Y41" s="226">
        <f t="shared" si="16"/>
        <v>0</v>
      </c>
      <c r="Z41" s="223"/>
      <c r="AA41" s="125"/>
      <c r="AB41" s="230">
        <v>1300</v>
      </c>
      <c r="AC41" s="231">
        <v>15.54</v>
      </c>
      <c r="AD41" s="229">
        <f t="shared" si="17"/>
        <v>0</v>
      </c>
      <c r="AE41" s="223"/>
      <c r="AF41" s="125"/>
      <c r="AG41" s="230">
        <v>1300</v>
      </c>
      <c r="AH41" s="233">
        <v>1.298</v>
      </c>
      <c r="AI41" s="226">
        <f t="shared" si="18"/>
        <v>0</v>
      </c>
      <c r="AJ41" s="223"/>
      <c r="AK41" s="5"/>
      <c r="AL41" s="154">
        <v>1300</v>
      </c>
      <c r="AM41" s="219">
        <v>1.234</v>
      </c>
      <c r="AN41" s="226">
        <f t="shared" si="19"/>
        <v>0</v>
      </c>
      <c r="AO41" s="223"/>
      <c r="AQ41" s="224">
        <v>1300</v>
      </c>
      <c r="AR41" s="225">
        <v>2.4900000000000002</v>
      </c>
      <c r="AS41" s="226">
        <f t="shared" si="20"/>
        <v>0</v>
      </c>
      <c r="AT41" s="223"/>
      <c r="AU41" s="125"/>
      <c r="AV41" s="230">
        <v>1300</v>
      </c>
      <c r="AW41" s="231">
        <v>15.54</v>
      </c>
      <c r="AX41" s="229">
        <f t="shared" si="21"/>
        <v>0</v>
      </c>
      <c r="AY41" s="223"/>
      <c r="AZ41" s="125"/>
      <c r="BA41" s="230">
        <v>1300</v>
      </c>
      <c r="BB41" s="233">
        <v>1.298</v>
      </c>
      <c r="BC41" s="226">
        <f t="shared" si="22"/>
        <v>0</v>
      </c>
      <c r="BD41" s="223"/>
      <c r="BE41" s="5"/>
      <c r="BF41" s="230"/>
      <c r="BG41" s="233"/>
      <c r="BH41" s="226"/>
      <c r="BI41" s="223"/>
      <c r="BK41" s="224">
        <v>1300</v>
      </c>
      <c r="BL41" s="225">
        <v>2.4900000000000002</v>
      </c>
      <c r="BM41" s="226">
        <f t="shared" si="24"/>
        <v>0</v>
      </c>
      <c r="BN41" s="223"/>
      <c r="BO41" s="125"/>
      <c r="BP41" s="230">
        <v>1300</v>
      </c>
      <c r="BQ41" s="231">
        <v>15.54</v>
      </c>
      <c r="BR41" s="229">
        <f t="shared" si="25"/>
        <v>0</v>
      </c>
      <c r="BS41" s="223"/>
      <c r="BT41" s="125"/>
      <c r="BU41" s="230">
        <v>1300</v>
      </c>
      <c r="BV41" s="233">
        <v>1.298</v>
      </c>
      <c r="BW41" s="226">
        <f t="shared" si="26"/>
        <v>0</v>
      </c>
      <c r="BX41" s="223"/>
      <c r="BY41" s="5"/>
      <c r="BZ41" s="154">
        <v>1300</v>
      </c>
      <c r="CA41" s="219">
        <v>1.234</v>
      </c>
      <c r="CB41" s="226">
        <f t="shared" si="27"/>
        <v>0</v>
      </c>
      <c r="CC41" s="223"/>
      <c r="CE41" s="224">
        <v>1300</v>
      </c>
      <c r="CF41" s="225">
        <v>2.4900000000000002</v>
      </c>
      <c r="CG41" s="226">
        <f t="shared" si="28"/>
        <v>0</v>
      </c>
      <c r="CH41" s="223"/>
      <c r="CI41" s="125"/>
      <c r="CJ41" s="230">
        <v>1300</v>
      </c>
      <c r="CK41" s="231">
        <v>15.54</v>
      </c>
      <c r="CL41" s="229">
        <f t="shared" si="29"/>
        <v>0</v>
      </c>
      <c r="CM41" s="223"/>
      <c r="CN41" s="125"/>
      <c r="CO41" s="230">
        <v>1300</v>
      </c>
      <c r="CP41" s="233">
        <v>1.298</v>
      </c>
      <c r="CQ41" s="226">
        <f t="shared" si="30"/>
        <v>0</v>
      </c>
      <c r="CR41" s="223"/>
      <c r="CT41" s="154">
        <v>1300</v>
      </c>
      <c r="CU41" s="219">
        <v>1.234</v>
      </c>
      <c r="CV41" s="226">
        <f t="shared" si="31"/>
        <v>0</v>
      </c>
      <c r="CW41" s="223"/>
      <c r="CY41" s="224">
        <v>1300</v>
      </c>
      <c r="CZ41" s="225">
        <v>2.4900000000000002</v>
      </c>
      <c r="DA41" s="226">
        <f t="shared" si="32"/>
        <v>0</v>
      </c>
      <c r="DB41" s="223"/>
      <c r="DC41" s="125"/>
      <c r="DD41" s="230">
        <v>1300</v>
      </c>
      <c r="DE41" s="231">
        <v>15.54</v>
      </c>
      <c r="DF41" s="229">
        <f t="shared" si="33"/>
        <v>0</v>
      </c>
      <c r="DG41" s="223"/>
      <c r="DH41" s="125"/>
      <c r="DI41" s="230">
        <v>1300</v>
      </c>
      <c r="DJ41" s="233">
        <v>1.298</v>
      </c>
      <c r="DK41" s="226">
        <f t="shared" si="34"/>
        <v>0</v>
      </c>
      <c r="DL41" s="223"/>
      <c r="DN41" s="154">
        <v>1300</v>
      </c>
      <c r="DO41" s="219">
        <v>1.234</v>
      </c>
      <c r="DP41" s="226">
        <f t="shared" si="35"/>
        <v>0</v>
      </c>
      <c r="DQ41" s="223"/>
      <c r="DS41" s="224">
        <v>1300</v>
      </c>
      <c r="DT41" s="225">
        <v>2.4900000000000002</v>
      </c>
      <c r="DU41" s="226">
        <f t="shared" si="36"/>
        <v>0</v>
      </c>
      <c r="DV41" s="223"/>
      <c r="DW41" s="125"/>
      <c r="DX41" s="230">
        <v>1300</v>
      </c>
      <c r="DY41" s="231">
        <v>15.54</v>
      </c>
      <c r="DZ41" s="229">
        <f t="shared" si="37"/>
        <v>0</v>
      </c>
      <c r="EA41" s="223"/>
      <c r="EB41" s="125"/>
      <c r="EC41" s="230">
        <v>1300</v>
      </c>
      <c r="ED41" s="233">
        <v>1.298</v>
      </c>
      <c r="EE41" s="226">
        <f t="shared" si="38"/>
        <v>0</v>
      </c>
      <c r="EF41" s="223"/>
      <c r="EH41" s="154">
        <v>1300</v>
      </c>
      <c r="EI41" s="219">
        <v>1.234</v>
      </c>
      <c r="EJ41" s="226">
        <f t="shared" si="39"/>
        <v>0</v>
      </c>
      <c r="EK41" s="223"/>
      <c r="EM41" s="230">
        <v>1300</v>
      </c>
      <c r="EN41" s="233">
        <v>1.298</v>
      </c>
      <c r="EO41" s="226">
        <f t="shared" si="40"/>
        <v>0</v>
      </c>
      <c r="EP41" s="223"/>
      <c r="EQ41" s="125"/>
      <c r="ER41" s="224"/>
      <c r="ES41" s="224"/>
      <c r="ET41" s="389"/>
      <c r="EU41" s="5"/>
      <c r="EV41" s="125"/>
      <c r="EW41" s="230">
        <v>1300</v>
      </c>
      <c r="EX41" s="233">
        <v>1.298</v>
      </c>
      <c r="EY41" s="226">
        <f t="shared" si="41"/>
        <v>0</v>
      </c>
      <c r="EZ41" s="223"/>
      <c r="FA41" s="125"/>
      <c r="FB41" s="224"/>
      <c r="FC41" s="224"/>
      <c r="FD41" s="389"/>
      <c r="FE41" s="5"/>
      <c r="FG41" s="224">
        <v>1300</v>
      </c>
      <c r="FH41" s="225">
        <v>2.4900000000000002</v>
      </c>
      <c r="FI41" s="226">
        <f t="shared" si="42"/>
        <v>0</v>
      </c>
      <c r="FJ41" s="223"/>
      <c r="FK41" s="125"/>
      <c r="FL41" s="230">
        <v>1300</v>
      </c>
      <c r="FM41" s="231">
        <v>15.54</v>
      </c>
      <c r="FN41" s="229">
        <f t="shared" si="43"/>
        <v>0</v>
      </c>
      <c r="FO41" s="223"/>
      <c r="FP41" s="125"/>
      <c r="FQ41" s="230">
        <v>1300</v>
      </c>
      <c r="FR41" s="233">
        <v>1.298</v>
      </c>
      <c r="FS41" s="226">
        <f t="shared" si="44"/>
        <v>0</v>
      </c>
      <c r="FT41" s="223"/>
      <c r="FV41" s="154">
        <v>1300</v>
      </c>
      <c r="FW41" s="219">
        <v>1.234</v>
      </c>
      <c r="FX41" s="226">
        <f t="shared" si="45"/>
        <v>0</v>
      </c>
      <c r="FY41" s="223"/>
      <c r="GA41" s="224">
        <v>1300</v>
      </c>
      <c r="GB41" s="225">
        <v>2.4900000000000002</v>
      </c>
      <c r="GC41" s="226">
        <f t="shared" si="46"/>
        <v>0</v>
      </c>
      <c r="GD41" s="223"/>
      <c r="GE41" s="125"/>
      <c r="GF41" s="230">
        <v>1300</v>
      </c>
      <c r="GG41" s="231">
        <v>15.54</v>
      </c>
      <c r="GH41" s="229">
        <f t="shared" si="47"/>
        <v>0</v>
      </c>
      <c r="GI41" s="223"/>
      <c r="GJ41" s="125"/>
      <c r="GK41" s="230">
        <v>1300</v>
      </c>
      <c r="GL41" s="233">
        <v>1.298</v>
      </c>
      <c r="GM41" s="226">
        <f t="shared" si="48"/>
        <v>0</v>
      </c>
      <c r="GN41" s="223"/>
      <c r="GP41" s="154">
        <v>1300</v>
      </c>
      <c r="GQ41" s="219">
        <v>1.234</v>
      </c>
      <c r="GR41" s="226">
        <f t="shared" si="49"/>
        <v>0</v>
      </c>
      <c r="GS41" s="223"/>
      <c r="GU41" s="224">
        <v>1300</v>
      </c>
      <c r="GV41" s="225">
        <v>2.4900000000000002</v>
      </c>
      <c r="GW41" s="226">
        <f t="shared" si="50"/>
        <v>0</v>
      </c>
      <c r="GX41" s="223"/>
      <c r="GY41" s="125"/>
      <c r="GZ41" s="230">
        <v>1300</v>
      </c>
      <c r="HA41" s="231">
        <v>15.54</v>
      </c>
      <c r="HB41" s="229">
        <f t="shared" si="51"/>
        <v>0</v>
      </c>
      <c r="HC41" s="223"/>
      <c r="HD41" s="125"/>
      <c r="HE41" s="230">
        <v>1300</v>
      </c>
      <c r="HF41" s="233">
        <v>1.298</v>
      </c>
      <c r="HG41" s="226">
        <f t="shared" si="52"/>
        <v>0</v>
      </c>
      <c r="HH41" s="223"/>
      <c r="HI41" s="5"/>
      <c r="HJ41" s="230"/>
      <c r="HK41" s="233"/>
      <c r="HL41" s="226"/>
      <c r="HM41" s="223"/>
      <c r="HO41" s="224">
        <v>1300</v>
      </c>
      <c r="HP41" s="225">
        <v>2.4900000000000002</v>
      </c>
      <c r="HQ41" s="226">
        <f t="shared" si="54"/>
        <v>0</v>
      </c>
      <c r="HR41" s="223"/>
      <c r="HS41" s="125"/>
      <c r="HT41" s="230">
        <v>1300</v>
      </c>
      <c r="HU41" s="231">
        <v>15.54</v>
      </c>
      <c r="HV41" s="229">
        <f t="shared" si="55"/>
        <v>0</v>
      </c>
      <c r="HW41" s="223"/>
      <c r="HX41" s="125"/>
      <c r="HY41" s="230">
        <v>1300</v>
      </c>
      <c r="HZ41" s="233">
        <v>1.298</v>
      </c>
      <c r="IA41" s="226">
        <f t="shared" si="56"/>
        <v>0</v>
      </c>
      <c r="IB41" s="223"/>
      <c r="IC41" s="5"/>
      <c r="ID41" s="230"/>
      <c r="IE41" s="233"/>
      <c r="IF41" s="226"/>
      <c r="IG41" s="223"/>
      <c r="II41" s="224">
        <v>1300</v>
      </c>
      <c r="IJ41" s="225">
        <v>2.4900000000000002</v>
      </c>
      <c r="IK41" s="226">
        <f t="shared" si="58"/>
        <v>0</v>
      </c>
      <c r="IL41" s="223"/>
      <c r="IM41" s="125"/>
      <c r="IN41" s="230">
        <v>1300</v>
      </c>
      <c r="IO41" s="231">
        <v>15.54</v>
      </c>
      <c r="IP41" s="229">
        <f t="shared" si="59"/>
        <v>0</v>
      </c>
      <c r="IQ41" s="223"/>
      <c r="IR41" s="125"/>
      <c r="IS41" s="230">
        <v>1300</v>
      </c>
      <c r="IT41" s="233">
        <v>1.298</v>
      </c>
      <c r="IU41" s="226">
        <f t="shared" si="60"/>
        <v>0</v>
      </c>
      <c r="IV41" s="223"/>
      <c r="IW41" s="5"/>
      <c r="IX41" s="230"/>
      <c r="IY41" s="233"/>
      <c r="IZ41" s="226"/>
      <c r="JA41" s="223"/>
      <c r="JC41" s="224">
        <v>1300</v>
      </c>
      <c r="JD41" s="225">
        <v>2.4900000000000002</v>
      </c>
      <c r="JE41" s="226">
        <f t="shared" si="62"/>
        <v>0</v>
      </c>
      <c r="JF41" s="223"/>
      <c r="JG41" s="125"/>
      <c r="JH41" s="230">
        <v>1300</v>
      </c>
      <c r="JI41" s="231">
        <v>15.54</v>
      </c>
      <c r="JJ41" s="229">
        <f t="shared" si="63"/>
        <v>0</v>
      </c>
      <c r="JK41" s="223"/>
      <c r="JL41" s="125"/>
      <c r="JM41" s="230">
        <v>1300</v>
      </c>
      <c r="JN41" s="233">
        <v>1.298</v>
      </c>
      <c r="JO41" s="226">
        <f t="shared" si="64"/>
        <v>0</v>
      </c>
      <c r="JP41" s="223"/>
      <c r="JQ41" s="5"/>
      <c r="JR41" s="230"/>
      <c r="JS41" s="233"/>
      <c r="JT41" s="226"/>
      <c r="JU41" s="223"/>
      <c r="JW41" s="224">
        <v>1300</v>
      </c>
      <c r="JX41" s="225">
        <v>2.4900000000000002</v>
      </c>
      <c r="JY41" s="226">
        <f t="shared" si="0"/>
        <v>0</v>
      </c>
      <c r="JZ41" s="223"/>
      <c r="KA41" s="125"/>
      <c r="KB41" s="230">
        <v>1300</v>
      </c>
      <c r="KC41" s="231">
        <v>15.54</v>
      </c>
      <c r="KD41" s="229">
        <f t="shared" si="1"/>
        <v>0</v>
      </c>
      <c r="KE41" s="223"/>
      <c r="KF41" s="125"/>
      <c r="KG41" s="230">
        <v>1300</v>
      </c>
      <c r="KH41" s="233">
        <v>1.298</v>
      </c>
      <c r="KI41" s="226">
        <f t="shared" si="2"/>
        <v>0</v>
      </c>
      <c r="KJ41" s="223"/>
      <c r="KK41" s="5"/>
      <c r="KL41" s="230"/>
      <c r="KM41" s="233"/>
      <c r="KN41" s="226"/>
      <c r="KO41" s="223"/>
      <c r="KQ41" s="224">
        <v>1300</v>
      </c>
      <c r="KR41" s="225">
        <v>2.4900000000000002</v>
      </c>
      <c r="KS41" s="226">
        <f t="shared" si="4"/>
        <v>0</v>
      </c>
      <c r="KT41" s="223"/>
      <c r="KU41" s="125"/>
      <c r="KV41" s="230">
        <v>1300</v>
      </c>
      <c r="KW41" s="231">
        <v>15.54</v>
      </c>
      <c r="KX41" s="229">
        <f t="shared" si="5"/>
        <v>0</v>
      </c>
      <c r="KY41" s="223"/>
      <c r="KZ41" s="125"/>
      <c r="LA41" s="230">
        <v>1300</v>
      </c>
      <c r="LB41" s="233">
        <v>1.298</v>
      </c>
      <c r="LC41" s="226">
        <f t="shared" si="6"/>
        <v>0</v>
      </c>
      <c r="LD41" s="223"/>
      <c r="LE41" s="5"/>
      <c r="LF41" s="230"/>
      <c r="LG41" s="233"/>
      <c r="LH41" s="226"/>
      <c r="LI41" s="223"/>
      <c r="LK41" s="224">
        <v>1300</v>
      </c>
      <c r="LL41" s="225">
        <v>2.4900000000000002</v>
      </c>
      <c r="LM41" s="226" t="e">
        <f t="shared" si="8"/>
        <v>#REF!</v>
      </c>
      <c r="LN41" s="223"/>
      <c r="LO41" s="125"/>
      <c r="LP41" s="230">
        <v>1300</v>
      </c>
      <c r="LQ41" s="231">
        <v>15.54</v>
      </c>
      <c r="LR41" s="229" t="e">
        <f t="shared" si="9"/>
        <v>#REF!</v>
      </c>
      <c r="LS41" s="223"/>
      <c r="LT41" s="125"/>
      <c r="LU41" s="230">
        <v>1300</v>
      </c>
      <c r="LV41" s="233">
        <v>1.298</v>
      </c>
      <c r="LW41" s="226" t="e">
        <f t="shared" si="10"/>
        <v>#REF!</v>
      </c>
      <c r="LX41" s="223"/>
      <c r="LY41" s="5"/>
      <c r="LZ41" s="230"/>
      <c r="MA41" s="233"/>
      <c r="MB41" s="226"/>
      <c r="MC41" s="223"/>
    </row>
    <row r="42" spans="2:341" ht="16" thickBot="1" x14ac:dyDescent="0.25">
      <c r="B42" s="125"/>
      <c r="C42" s="224">
        <v>1350</v>
      </c>
      <c r="D42" s="225">
        <v>2.5209999999999999</v>
      </c>
      <c r="E42" s="226">
        <f t="shared" si="12"/>
        <v>0</v>
      </c>
      <c r="F42" s="223"/>
      <c r="G42" s="125"/>
      <c r="H42" s="230">
        <v>1350</v>
      </c>
      <c r="I42" s="231">
        <v>15.65</v>
      </c>
      <c r="J42" s="229">
        <f t="shared" si="13"/>
        <v>0</v>
      </c>
      <c r="K42" s="223"/>
      <c r="L42" s="125"/>
      <c r="M42" s="230">
        <v>1350</v>
      </c>
      <c r="N42" s="233">
        <v>1.306</v>
      </c>
      <c r="O42" s="226">
        <f t="shared" si="14"/>
        <v>0</v>
      </c>
      <c r="P42" s="223"/>
      <c r="Q42" s="5"/>
      <c r="R42" s="230"/>
      <c r="S42" s="233"/>
      <c r="T42" s="226"/>
      <c r="U42" s="223"/>
      <c r="V42" s="5"/>
      <c r="W42" s="224">
        <v>1350</v>
      </c>
      <c r="X42" s="225">
        <v>2.5209999999999999</v>
      </c>
      <c r="Y42" s="226">
        <f t="shared" si="16"/>
        <v>0</v>
      </c>
      <c r="Z42" s="223"/>
      <c r="AA42" s="125"/>
      <c r="AB42" s="230">
        <v>1350</v>
      </c>
      <c r="AC42" s="231">
        <v>15.65</v>
      </c>
      <c r="AD42" s="229">
        <f t="shared" si="17"/>
        <v>0</v>
      </c>
      <c r="AE42" s="223"/>
      <c r="AF42" s="125"/>
      <c r="AG42" s="230">
        <v>1350</v>
      </c>
      <c r="AH42" s="233">
        <v>1.306</v>
      </c>
      <c r="AI42" s="226">
        <f t="shared" si="18"/>
        <v>0</v>
      </c>
      <c r="AJ42" s="223"/>
      <c r="AK42" s="5"/>
      <c r="AL42" s="154">
        <v>1350</v>
      </c>
      <c r="AM42" s="219">
        <v>1.24</v>
      </c>
      <c r="AN42" s="226">
        <f t="shared" si="19"/>
        <v>0</v>
      </c>
      <c r="AO42" s="223"/>
      <c r="AQ42" s="224">
        <v>1350</v>
      </c>
      <c r="AR42" s="225">
        <v>2.5209999999999999</v>
      </c>
      <c r="AS42" s="226">
        <f t="shared" si="20"/>
        <v>0</v>
      </c>
      <c r="AT42" s="223"/>
      <c r="AU42" s="125"/>
      <c r="AV42" s="230">
        <v>1350</v>
      </c>
      <c r="AW42" s="231">
        <v>15.65</v>
      </c>
      <c r="AX42" s="229">
        <f t="shared" si="21"/>
        <v>0</v>
      </c>
      <c r="AY42" s="223"/>
      <c r="AZ42" s="125"/>
      <c r="BA42" s="230">
        <v>1350</v>
      </c>
      <c r="BB42" s="233">
        <v>1.306</v>
      </c>
      <c r="BC42" s="226">
        <f t="shared" si="22"/>
        <v>0</v>
      </c>
      <c r="BD42" s="223"/>
      <c r="BE42" s="5"/>
      <c r="BF42" s="230"/>
      <c r="BG42" s="233"/>
      <c r="BH42" s="226"/>
      <c r="BI42" s="223"/>
      <c r="BK42" s="224">
        <v>1350</v>
      </c>
      <c r="BL42" s="225">
        <v>2.5209999999999999</v>
      </c>
      <c r="BM42" s="226">
        <f t="shared" si="24"/>
        <v>0</v>
      </c>
      <c r="BN42" s="223"/>
      <c r="BO42" s="125"/>
      <c r="BP42" s="230">
        <v>1350</v>
      </c>
      <c r="BQ42" s="231">
        <v>15.65</v>
      </c>
      <c r="BR42" s="229">
        <f t="shared" si="25"/>
        <v>0</v>
      </c>
      <c r="BS42" s="223"/>
      <c r="BT42" s="125"/>
      <c r="BU42" s="230">
        <v>1350</v>
      </c>
      <c r="BV42" s="233">
        <v>1.306</v>
      </c>
      <c r="BW42" s="226">
        <f t="shared" si="26"/>
        <v>0</v>
      </c>
      <c r="BX42" s="223"/>
      <c r="BY42" s="5"/>
      <c r="BZ42" s="154">
        <v>1350</v>
      </c>
      <c r="CA42" s="219">
        <v>1.24</v>
      </c>
      <c r="CB42" s="226">
        <f t="shared" si="27"/>
        <v>0</v>
      </c>
      <c r="CC42" s="223"/>
      <c r="CE42" s="224">
        <v>1350</v>
      </c>
      <c r="CF42" s="225">
        <v>2.5209999999999999</v>
      </c>
      <c r="CG42" s="226">
        <f t="shared" si="28"/>
        <v>0</v>
      </c>
      <c r="CH42" s="223"/>
      <c r="CI42" s="125"/>
      <c r="CJ42" s="230">
        <v>1350</v>
      </c>
      <c r="CK42" s="231">
        <v>15.65</v>
      </c>
      <c r="CL42" s="229">
        <f t="shared" si="29"/>
        <v>0</v>
      </c>
      <c r="CM42" s="223"/>
      <c r="CN42" s="125"/>
      <c r="CO42" s="230">
        <v>1350</v>
      </c>
      <c r="CP42" s="233">
        <v>1.306</v>
      </c>
      <c r="CQ42" s="226">
        <f t="shared" si="30"/>
        <v>0</v>
      </c>
      <c r="CR42" s="223"/>
      <c r="CT42" s="154">
        <v>1350</v>
      </c>
      <c r="CU42" s="219">
        <v>1.24</v>
      </c>
      <c r="CV42" s="226">
        <f t="shared" si="31"/>
        <v>0</v>
      </c>
      <c r="CW42" s="223"/>
      <c r="CY42" s="224">
        <v>1350</v>
      </c>
      <c r="CZ42" s="225">
        <v>2.5209999999999999</v>
      </c>
      <c r="DA42" s="226">
        <f t="shared" si="32"/>
        <v>0</v>
      </c>
      <c r="DB42" s="223"/>
      <c r="DC42" s="125"/>
      <c r="DD42" s="230">
        <v>1350</v>
      </c>
      <c r="DE42" s="231">
        <v>15.65</v>
      </c>
      <c r="DF42" s="229">
        <f t="shared" si="33"/>
        <v>0</v>
      </c>
      <c r="DG42" s="223"/>
      <c r="DH42" s="125"/>
      <c r="DI42" s="230">
        <v>1350</v>
      </c>
      <c r="DJ42" s="233">
        <v>1.306</v>
      </c>
      <c r="DK42" s="226">
        <f t="shared" si="34"/>
        <v>0</v>
      </c>
      <c r="DL42" s="223"/>
      <c r="DN42" s="154">
        <v>1350</v>
      </c>
      <c r="DO42" s="219">
        <v>1.24</v>
      </c>
      <c r="DP42" s="226">
        <f t="shared" si="35"/>
        <v>0</v>
      </c>
      <c r="DQ42" s="223"/>
      <c r="DS42" s="224">
        <v>1350</v>
      </c>
      <c r="DT42" s="225">
        <v>2.5209999999999999</v>
      </c>
      <c r="DU42" s="226">
        <f t="shared" si="36"/>
        <v>0</v>
      </c>
      <c r="DV42" s="223"/>
      <c r="DW42" s="125"/>
      <c r="DX42" s="230">
        <v>1350</v>
      </c>
      <c r="DY42" s="231">
        <v>15.65</v>
      </c>
      <c r="DZ42" s="229">
        <f t="shared" si="37"/>
        <v>0</v>
      </c>
      <c r="EA42" s="223"/>
      <c r="EB42" s="125"/>
      <c r="EC42" s="230">
        <v>1350</v>
      </c>
      <c r="ED42" s="233">
        <v>1.306</v>
      </c>
      <c r="EE42" s="226">
        <f t="shared" si="38"/>
        <v>0</v>
      </c>
      <c r="EF42" s="223"/>
      <c r="EH42" s="154">
        <v>1350</v>
      </c>
      <c r="EI42" s="219">
        <v>1.24</v>
      </c>
      <c r="EJ42" s="226">
        <f t="shared" si="39"/>
        <v>0</v>
      </c>
      <c r="EK42" s="223"/>
      <c r="EM42" s="230">
        <v>1350</v>
      </c>
      <c r="EN42" s="233">
        <v>1.306</v>
      </c>
      <c r="EO42" s="226">
        <f t="shared" si="40"/>
        <v>0</v>
      </c>
      <c r="EP42" s="223"/>
      <c r="EQ42" s="125"/>
      <c r="ER42" s="224"/>
      <c r="ES42" s="224"/>
      <c r="ET42" s="389"/>
      <c r="EU42" s="5"/>
      <c r="EV42" s="125"/>
      <c r="EW42" s="230">
        <v>1350</v>
      </c>
      <c r="EX42" s="233">
        <v>1.306</v>
      </c>
      <c r="EY42" s="226">
        <f t="shared" si="41"/>
        <v>0</v>
      </c>
      <c r="EZ42" s="223"/>
      <c r="FA42" s="125"/>
      <c r="FB42" s="224"/>
      <c r="FC42" s="224"/>
      <c r="FD42" s="389"/>
      <c r="FE42" s="5"/>
      <c r="FG42" s="224">
        <v>1350</v>
      </c>
      <c r="FH42" s="225">
        <v>2.5209999999999999</v>
      </c>
      <c r="FI42" s="226">
        <f t="shared" si="42"/>
        <v>0</v>
      </c>
      <c r="FJ42" s="223"/>
      <c r="FK42" s="125"/>
      <c r="FL42" s="230">
        <v>1350</v>
      </c>
      <c r="FM42" s="231">
        <v>15.65</v>
      </c>
      <c r="FN42" s="229">
        <f t="shared" si="43"/>
        <v>0</v>
      </c>
      <c r="FO42" s="223"/>
      <c r="FP42" s="125"/>
      <c r="FQ42" s="230">
        <v>1350</v>
      </c>
      <c r="FR42" s="233">
        <v>1.306</v>
      </c>
      <c r="FS42" s="226">
        <f t="shared" si="44"/>
        <v>0</v>
      </c>
      <c r="FT42" s="223"/>
      <c r="FV42" s="154">
        <v>1350</v>
      </c>
      <c r="FW42" s="219">
        <v>1.24</v>
      </c>
      <c r="FX42" s="226">
        <f t="shared" si="45"/>
        <v>0</v>
      </c>
      <c r="FY42" s="223"/>
      <c r="GA42" s="224">
        <v>1350</v>
      </c>
      <c r="GB42" s="225">
        <v>2.5209999999999999</v>
      </c>
      <c r="GC42" s="226">
        <f t="shared" si="46"/>
        <v>0</v>
      </c>
      <c r="GD42" s="223"/>
      <c r="GE42" s="125"/>
      <c r="GF42" s="230">
        <v>1350</v>
      </c>
      <c r="GG42" s="231">
        <v>15.65</v>
      </c>
      <c r="GH42" s="229">
        <f t="shared" si="47"/>
        <v>0</v>
      </c>
      <c r="GI42" s="223"/>
      <c r="GJ42" s="125"/>
      <c r="GK42" s="230">
        <v>1350</v>
      </c>
      <c r="GL42" s="233">
        <v>1.306</v>
      </c>
      <c r="GM42" s="226">
        <f t="shared" si="48"/>
        <v>0</v>
      </c>
      <c r="GN42" s="223"/>
      <c r="GP42" s="154">
        <v>1350</v>
      </c>
      <c r="GQ42" s="219">
        <v>1.24</v>
      </c>
      <c r="GR42" s="226">
        <f t="shared" si="49"/>
        <v>0</v>
      </c>
      <c r="GS42" s="223"/>
      <c r="GU42" s="224">
        <v>1350</v>
      </c>
      <c r="GV42" s="225">
        <v>2.5209999999999999</v>
      </c>
      <c r="GW42" s="226">
        <f t="shared" si="50"/>
        <v>0</v>
      </c>
      <c r="GX42" s="223"/>
      <c r="GY42" s="125"/>
      <c r="GZ42" s="230">
        <v>1350</v>
      </c>
      <c r="HA42" s="231">
        <v>15.65</v>
      </c>
      <c r="HB42" s="229">
        <f t="shared" si="51"/>
        <v>0</v>
      </c>
      <c r="HC42" s="223"/>
      <c r="HD42" s="125"/>
      <c r="HE42" s="230">
        <v>1350</v>
      </c>
      <c r="HF42" s="233">
        <v>1.306</v>
      </c>
      <c r="HG42" s="226">
        <f t="shared" si="52"/>
        <v>0</v>
      </c>
      <c r="HH42" s="223"/>
      <c r="HI42" s="5"/>
      <c r="HJ42" s="230"/>
      <c r="HK42" s="233"/>
      <c r="HL42" s="226"/>
      <c r="HM42" s="223"/>
      <c r="HO42" s="224">
        <v>1350</v>
      </c>
      <c r="HP42" s="225">
        <v>2.5209999999999999</v>
      </c>
      <c r="HQ42" s="226">
        <f t="shared" si="54"/>
        <v>0</v>
      </c>
      <c r="HR42" s="223"/>
      <c r="HS42" s="125"/>
      <c r="HT42" s="230">
        <v>1350</v>
      </c>
      <c r="HU42" s="231">
        <v>15.65</v>
      </c>
      <c r="HV42" s="229">
        <f t="shared" si="55"/>
        <v>0</v>
      </c>
      <c r="HW42" s="223"/>
      <c r="HX42" s="125"/>
      <c r="HY42" s="230">
        <v>1350</v>
      </c>
      <c r="HZ42" s="233">
        <v>1.306</v>
      </c>
      <c r="IA42" s="226">
        <f t="shared" si="56"/>
        <v>0</v>
      </c>
      <c r="IB42" s="223"/>
      <c r="IC42" s="5"/>
      <c r="ID42" s="230"/>
      <c r="IE42" s="233"/>
      <c r="IF42" s="226"/>
      <c r="IG42" s="223"/>
      <c r="II42" s="224">
        <v>1350</v>
      </c>
      <c r="IJ42" s="225">
        <v>2.5209999999999999</v>
      </c>
      <c r="IK42" s="226">
        <f t="shared" si="58"/>
        <v>0</v>
      </c>
      <c r="IL42" s="223"/>
      <c r="IM42" s="125"/>
      <c r="IN42" s="230">
        <v>1350</v>
      </c>
      <c r="IO42" s="231">
        <v>15.65</v>
      </c>
      <c r="IP42" s="229">
        <f t="shared" si="59"/>
        <v>0</v>
      </c>
      <c r="IQ42" s="223"/>
      <c r="IR42" s="125"/>
      <c r="IS42" s="230">
        <v>1350</v>
      </c>
      <c r="IT42" s="233">
        <v>1.306</v>
      </c>
      <c r="IU42" s="226">
        <f t="shared" si="60"/>
        <v>0</v>
      </c>
      <c r="IV42" s="223"/>
      <c r="IW42" s="5"/>
      <c r="IX42" s="230"/>
      <c r="IY42" s="233"/>
      <c r="IZ42" s="226"/>
      <c r="JA42" s="223"/>
      <c r="JC42" s="224">
        <v>1350</v>
      </c>
      <c r="JD42" s="225">
        <v>2.5209999999999999</v>
      </c>
      <c r="JE42" s="226">
        <f t="shared" si="62"/>
        <v>0</v>
      </c>
      <c r="JF42" s="223"/>
      <c r="JG42" s="125"/>
      <c r="JH42" s="230">
        <v>1350</v>
      </c>
      <c r="JI42" s="231">
        <v>15.65</v>
      </c>
      <c r="JJ42" s="229">
        <f t="shared" si="63"/>
        <v>0</v>
      </c>
      <c r="JK42" s="223"/>
      <c r="JL42" s="125"/>
      <c r="JM42" s="230">
        <v>1350</v>
      </c>
      <c r="JN42" s="233">
        <v>1.306</v>
      </c>
      <c r="JO42" s="226">
        <f t="shared" si="64"/>
        <v>0</v>
      </c>
      <c r="JP42" s="223"/>
      <c r="JQ42" s="5"/>
      <c r="JR42" s="230"/>
      <c r="JS42" s="233"/>
      <c r="JT42" s="226"/>
      <c r="JU42" s="223"/>
      <c r="JW42" s="224">
        <v>1350</v>
      </c>
      <c r="JX42" s="225">
        <v>2.5209999999999999</v>
      </c>
      <c r="JY42" s="226">
        <f t="shared" si="0"/>
        <v>0</v>
      </c>
      <c r="JZ42" s="223"/>
      <c r="KA42" s="125"/>
      <c r="KB42" s="230">
        <v>1350</v>
      </c>
      <c r="KC42" s="231">
        <v>15.65</v>
      </c>
      <c r="KD42" s="229">
        <f t="shared" si="1"/>
        <v>0</v>
      </c>
      <c r="KE42" s="223"/>
      <c r="KF42" s="125"/>
      <c r="KG42" s="230">
        <v>1350</v>
      </c>
      <c r="KH42" s="233">
        <v>1.306</v>
      </c>
      <c r="KI42" s="226">
        <f t="shared" si="2"/>
        <v>0</v>
      </c>
      <c r="KJ42" s="223"/>
      <c r="KK42" s="5"/>
      <c r="KL42" s="230"/>
      <c r="KM42" s="233"/>
      <c r="KN42" s="226"/>
      <c r="KO42" s="223"/>
      <c r="KQ42" s="224">
        <v>1350</v>
      </c>
      <c r="KR42" s="225">
        <v>2.5209999999999999</v>
      </c>
      <c r="KS42" s="226">
        <f t="shared" si="4"/>
        <v>0</v>
      </c>
      <c r="KT42" s="223"/>
      <c r="KU42" s="125"/>
      <c r="KV42" s="230">
        <v>1350</v>
      </c>
      <c r="KW42" s="231">
        <v>15.65</v>
      </c>
      <c r="KX42" s="229">
        <f t="shared" si="5"/>
        <v>0</v>
      </c>
      <c r="KY42" s="223"/>
      <c r="KZ42" s="125"/>
      <c r="LA42" s="230">
        <v>1350</v>
      </c>
      <c r="LB42" s="233">
        <v>1.306</v>
      </c>
      <c r="LC42" s="226">
        <f t="shared" si="6"/>
        <v>0</v>
      </c>
      <c r="LD42" s="223"/>
      <c r="LE42" s="5"/>
      <c r="LF42" s="230"/>
      <c r="LG42" s="233"/>
      <c r="LH42" s="226"/>
      <c r="LI42" s="223"/>
      <c r="LK42" s="224">
        <v>1350</v>
      </c>
      <c r="LL42" s="225">
        <v>2.5209999999999999</v>
      </c>
      <c r="LM42" s="226" t="e">
        <f t="shared" si="8"/>
        <v>#REF!</v>
      </c>
      <c r="LN42" s="223"/>
      <c r="LO42" s="125"/>
      <c r="LP42" s="230">
        <v>1350</v>
      </c>
      <c r="LQ42" s="231">
        <v>15.65</v>
      </c>
      <c r="LR42" s="229" t="e">
        <f t="shared" si="9"/>
        <v>#REF!</v>
      </c>
      <c r="LS42" s="223"/>
      <c r="LT42" s="125"/>
      <c r="LU42" s="230">
        <v>1350</v>
      </c>
      <c r="LV42" s="233">
        <v>1.306</v>
      </c>
      <c r="LW42" s="226" t="e">
        <f t="shared" si="10"/>
        <v>#REF!</v>
      </c>
      <c r="LX42" s="223"/>
      <c r="LY42" s="5"/>
      <c r="LZ42" s="230"/>
      <c r="MA42" s="233"/>
      <c r="MB42" s="226"/>
      <c r="MC42" s="223"/>
    </row>
    <row r="43" spans="2:341" ht="16" thickBot="1" x14ac:dyDescent="0.25">
      <c r="B43" s="125"/>
      <c r="C43" s="224">
        <v>1400</v>
      </c>
      <c r="D43" s="225">
        <v>2.552</v>
      </c>
      <c r="E43" s="226">
        <f t="shared" si="12"/>
        <v>0</v>
      </c>
      <c r="F43" s="223"/>
      <c r="G43" s="125"/>
      <c r="H43" s="230">
        <v>1400</v>
      </c>
      <c r="I43" s="231">
        <v>15.77</v>
      </c>
      <c r="J43" s="229">
        <f t="shared" si="13"/>
        <v>0</v>
      </c>
      <c r="K43" s="223"/>
      <c r="L43" s="125"/>
      <c r="M43" s="230">
        <v>1400</v>
      </c>
      <c r="N43" s="233">
        <v>1.3129999999999999</v>
      </c>
      <c r="O43" s="226">
        <f t="shared" si="14"/>
        <v>0</v>
      </c>
      <c r="P43" s="223"/>
      <c r="Q43" s="5"/>
      <c r="R43" s="230"/>
      <c r="S43" s="233"/>
      <c r="T43" s="226"/>
      <c r="U43" s="223"/>
      <c r="V43" s="5"/>
      <c r="W43" s="224">
        <v>1400</v>
      </c>
      <c r="X43" s="225">
        <v>2.552</v>
      </c>
      <c r="Y43" s="226">
        <f t="shared" si="16"/>
        <v>0</v>
      </c>
      <c r="Z43" s="223"/>
      <c r="AA43" s="125"/>
      <c r="AB43" s="230">
        <v>1400</v>
      </c>
      <c r="AC43" s="231">
        <v>15.77</v>
      </c>
      <c r="AD43" s="229">
        <f t="shared" si="17"/>
        <v>0</v>
      </c>
      <c r="AE43" s="223"/>
      <c r="AF43" s="125"/>
      <c r="AG43" s="230">
        <v>1400</v>
      </c>
      <c r="AH43" s="233">
        <v>1.3129999999999999</v>
      </c>
      <c r="AI43" s="226">
        <f t="shared" si="18"/>
        <v>0</v>
      </c>
      <c r="AJ43" s="223"/>
      <c r="AK43" s="5"/>
      <c r="AL43" s="154">
        <v>1400</v>
      </c>
      <c r="AM43" s="219">
        <v>1.246</v>
      </c>
      <c r="AN43" s="226">
        <f t="shared" si="19"/>
        <v>0</v>
      </c>
      <c r="AO43" s="223"/>
      <c r="AQ43" s="224">
        <v>1400</v>
      </c>
      <c r="AR43" s="225">
        <v>2.552</v>
      </c>
      <c r="AS43" s="226">
        <f t="shared" si="20"/>
        <v>0</v>
      </c>
      <c r="AT43" s="223"/>
      <c r="AU43" s="125"/>
      <c r="AV43" s="230">
        <v>1400</v>
      </c>
      <c r="AW43" s="231">
        <v>15.77</v>
      </c>
      <c r="AX43" s="229">
        <f t="shared" si="21"/>
        <v>0</v>
      </c>
      <c r="AY43" s="223"/>
      <c r="AZ43" s="125"/>
      <c r="BA43" s="230">
        <v>1400</v>
      </c>
      <c r="BB43" s="233">
        <v>1.3129999999999999</v>
      </c>
      <c r="BC43" s="226">
        <f t="shared" si="22"/>
        <v>0</v>
      </c>
      <c r="BD43" s="223"/>
      <c r="BE43" s="5"/>
      <c r="BF43" s="230"/>
      <c r="BG43" s="233"/>
      <c r="BH43" s="226"/>
      <c r="BI43" s="223"/>
      <c r="BK43" s="224">
        <v>1400</v>
      </c>
      <c r="BL43" s="225">
        <v>2.552</v>
      </c>
      <c r="BM43" s="226">
        <f t="shared" si="24"/>
        <v>0</v>
      </c>
      <c r="BN43" s="223"/>
      <c r="BO43" s="125"/>
      <c r="BP43" s="230">
        <v>1400</v>
      </c>
      <c r="BQ43" s="231">
        <v>15.77</v>
      </c>
      <c r="BR43" s="229">
        <f t="shared" si="25"/>
        <v>0</v>
      </c>
      <c r="BS43" s="223"/>
      <c r="BT43" s="125"/>
      <c r="BU43" s="230">
        <v>1400</v>
      </c>
      <c r="BV43" s="233">
        <v>1.3129999999999999</v>
      </c>
      <c r="BW43" s="226">
        <f t="shared" si="26"/>
        <v>0</v>
      </c>
      <c r="BX43" s="223"/>
      <c r="BY43" s="5"/>
      <c r="BZ43" s="154">
        <v>1400</v>
      </c>
      <c r="CA43" s="219">
        <v>1.246</v>
      </c>
      <c r="CB43" s="226">
        <f t="shared" si="27"/>
        <v>0</v>
      </c>
      <c r="CC43" s="223"/>
      <c r="CE43" s="224">
        <v>1400</v>
      </c>
      <c r="CF43" s="225">
        <v>2.552</v>
      </c>
      <c r="CG43" s="226">
        <f t="shared" si="28"/>
        <v>0</v>
      </c>
      <c r="CH43" s="223"/>
      <c r="CI43" s="125"/>
      <c r="CJ43" s="230">
        <v>1400</v>
      </c>
      <c r="CK43" s="231">
        <v>15.77</v>
      </c>
      <c r="CL43" s="229">
        <f t="shared" si="29"/>
        <v>0</v>
      </c>
      <c r="CM43" s="223"/>
      <c r="CN43" s="125"/>
      <c r="CO43" s="230">
        <v>1400</v>
      </c>
      <c r="CP43" s="233">
        <v>1.3129999999999999</v>
      </c>
      <c r="CQ43" s="226">
        <f t="shared" si="30"/>
        <v>0</v>
      </c>
      <c r="CR43" s="223"/>
      <c r="CT43" s="154">
        <v>1400</v>
      </c>
      <c r="CU43" s="219">
        <v>1.246</v>
      </c>
      <c r="CV43" s="226">
        <f t="shared" si="31"/>
        <v>0</v>
      </c>
      <c r="CW43" s="223"/>
      <c r="CY43" s="224">
        <v>1400</v>
      </c>
      <c r="CZ43" s="225">
        <v>2.552</v>
      </c>
      <c r="DA43" s="226">
        <f t="shared" si="32"/>
        <v>0</v>
      </c>
      <c r="DB43" s="223"/>
      <c r="DC43" s="125"/>
      <c r="DD43" s="230">
        <v>1400</v>
      </c>
      <c r="DE43" s="231">
        <v>15.77</v>
      </c>
      <c r="DF43" s="229">
        <f t="shared" si="33"/>
        <v>0</v>
      </c>
      <c r="DG43" s="223"/>
      <c r="DH43" s="125"/>
      <c r="DI43" s="230">
        <v>1400</v>
      </c>
      <c r="DJ43" s="233">
        <v>1.3129999999999999</v>
      </c>
      <c r="DK43" s="226">
        <f t="shared" si="34"/>
        <v>0</v>
      </c>
      <c r="DL43" s="223"/>
      <c r="DN43" s="154">
        <v>1400</v>
      </c>
      <c r="DO43" s="219">
        <v>1.246</v>
      </c>
      <c r="DP43" s="226">
        <f t="shared" si="35"/>
        <v>0</v>
      </c>
      <c r="DQ43" s="223"/>
      <c r="DS43" s="224">
        <v>1400</v>
      </c>
      <c r="DT43" s="225">
        <v>2.552</v>
      </c>
      <c r="DU43" s="226">
        <f t="shared" si="36"/>
        <v>0</v>
      </c>
      <c r="DV43" s="223"/>
      <c r="DW43" s="125"/>
      <c r="DX43" s="230">
        <v>1400</v>
      </c>
      <c r="DY43" s="231">
        <v>15.77</v>
      </c>
      <c r="DZ43" s="229">
        <f t="shared" si="37"/>
        <v>0</v>
      </c>
      <c r="EA43" s="223"/>
      <c r="EB43" s="125"/>
      <c r="EC43" s="230">
        <v>1400</v>
      </c>
      <c r="ED43" s="233">
        <v>1.3129999999999999</v>
      </c>
      <c r="EE43" s="226">
        <f t="shared" si="38"/>
        <v>0</v>
      </c>
      <c r="EF43" s="223"/>
      <c r="EH43" s="154">
        <v>1400</v>
      </c>
      <c r="EI43" s="219">
        <v>1.246</v>
      </c>
      <c r="EJ43" s="226">
        <f t="shared" si="39"/>
        <v>0</v>
      </c>
      <c r="EK43" s="223"/>
      <c r="EM43" s="230">
        <v>1400</v>
      </c>
      <c r="EN43" s="233">
        <v>1.3129999999999999</v>
      </c>
      <c r="EO43" s="226">
        <f t="shared" si="40"/>
        <v>0</v>
      </c>
      <c r="EP43" s="223"/>
      <c r="EQ43" s="125"/>
      <c r="ER43" s="224"/>
      <c r="ES43" s="224"/>
      <c r="ET43" s="389"/>
      <c r="EU43" s="5"/>
      <c r="EV43" s="125"/>
      <c r="EW43" s="230">
        <v>1400</v>
      </c>
      <c r="EX43" s="233">
        <v>1.3129999999999999</v>
      </c>
      <c r="EY43" s="226">
        <f t="shared" si="41"/>
        <v>0</v>
      </c>
      <c r="EZ43" s="223"/>
      <c r="FA43" s="125"/>
      <c r="FB43" s="224"/>
      <c r="FC43" s="224"/>
      <c r="FD43" s="389"/>
      <c r="FE43" s="5"/>
      <c r="FG43" s="224">
        <v>1400</v>
      </c>
      <c r="FH43" s="225">
        <v>2.552</v>
      </c>
      <c r="FI43" s="226">
        <f t="shared" si="42"/>
        <v>0</v>
      </c>
      <c r="FJ43" s="223"/>
      <c r="FK43" s="125"/>
      <c r="FL43" s="230">
        <v>1400</v>
      </c>
      <c r="FM43" s="231">
        <v>15.77</v>
      </c>
      <c r="FN43" s="229">
        <f t="shared" si="43"/>
        <v>0</v>
      </c>
      <c r="FO43" s="223"/>
      <c r="FP43" s="125"/>
      <c r="FQ43" s="230">
        <v>1400</v>
      </c>
      <c r="FR43" s="233">
        <v>1.3129999999999999</v>
      </c>
      <c r="FS43" s="226">
        <f t="shared" si="44"/>
        <v>0</v>
      </c>
      <c r="FT43" s="223"/>
      <c r="FV43" s="154">
        <v>1400</v>
      </c>
      <c r="FW43" s="219">
        <v>1.246</v>
      </c>
      <c r="FX43" s="226">
        <f t="shared" si="45"/>
        <v>0</v>
      </c>
      <c r="FY43" s="223"/>
      <c r="GA43" s="224">
        <v>1400</v>
      </c>
      <c r="GB43" s="225">
        <v>2.552</v>
      </c>
      <c r="GC43" s="226">
        <f t="shared" si="46"/>
        <v>0</v>
      </c>
      <c r="GD43" s="223"/>
      <c r="GE43" s="125"/>
      <c r="GF43" s="230">
        <v>1400</v>
      </c>
      <c r="GG43" s="231">
        <v>15.77</v>
      </c>
      <c r="GH43" s="229">
        <f t="shared" si="47"/>
        <v>0</v>
      </c>
      <c r="GI43" s="223"/>
      <c r="GJ43" s="125"/>
      <c r="GK43" s="230">
        <v>1400</v>
      </c>
      <c r="GL43" s="233">
        <v>1.3129999999999999</v>
      </c>
      <c r="GM43" s="226">
        <f t="shared" si="48"/>
        <v>0</v>
      </c>
      <c r="GN43" s="223"/>
      <c r="GP43" s="154">
        <v>1400</v>
      </c>
      <c r="GQ43" s="219">
        <v>1.246</v>
      </c>
      <c r="GR43" s="226">
        <f t="shared" si="49"/>
        <v>0</v>
      </c>
      <c r="GS43" s="223"/>
      <c r="GU43" s="224">
        <v>1400</v>
      </c>
      <c r="GV43" s="225">
        <v>2.552</v>
      </c>
      <c r="GW43" s="226">
        <f t="shared" si="50"/>
        <v>0</v>
      </c>
      <c r="GX43" s="223"/>
      <c r="GY43" s="125"/>
      <c r="GZ43" s="230">
        <v>1400</v>
      </c>
      <c r="HA43" s="231">
        <v>15.77</v>
      </c>
      <c r="HB43" s="229">
        <f t="shared" si="51"/>
        <v>0</v>
      </c>
      <c r="HC43" s="223"/>
      <c r="HD43" s="125"/>
      <c r="HE43" s="230">
        <v>1400</v>
      </c>
      <c r="HF43" s="233">
        <v>1.3129999999999999</v>
      </c>
      <c r="HG43" s="226">
        <f t="shared" si="52"/>
        <v>0</v>
      </c>
      <c r="HH43" s="223"/>
      <c r="HI43" s="5"/>
      <c r="HJ43" s="230"/>
      <c r="HK43" s="233"/>
      <c r="HL43" s="226"/>
      <c r="HM43" s="223"/>
      <c r="HO43" s="224">
        <v>1400</v>
      </c>
      <c r="HP43" s="225">
        <v>2.552</v>
      </c>
      <c r="HQ43" s="226">
        <f t="shared" si="54"/>
        <v>0</v>
      </c>
      <c r="HR43" s="223"/>
      <c r="HS43" s="125"/>
      <c r="HT43" s="230">
        <v>1400</v>
      </c>
      <c r="HU43" s="231">
        <v>15.77</v>
      </c>
      <c r="HV43" s="229">
        <f t="shared" si="55"/>
        <v>0</v>
      </c>
      <c r="HW43" s="223"/>
      <c r="HX43" s="125"/>
      <c r="HY43" s="230">
        <v>1400</v>
      </c>
      <c r="HZ43" s="233">
        <v>1.3129999999999999</v>
      </c>
      <c r="IA43" s="226">
        <f t="shared" si="56"/>
        <v>0</v>
      </c>
      <c r="IB43" s="223"/>
      <c r="IC43" s="5"/>
      <c r="ID43" s="230"/>
      <c r="IE43" s="233"/>
      <c r="IF43" s="226"/>
      <c r="IG43" s="223"/>
      <c r="II43" s="224">
        <v>1400</v>
      </c>
      <c r="IJ43" s="225">
        <v>2.552</v>
      </c>
      <c r="IK43" s="226">
        <f t="shared" si="58"/>
        <v>0</v>
      </c>
      <c r="IL43" s="223"/>
      <c r="IM43" s="125"/>
      <c r="IN43" s="230">
        <v>1400</v>
      </c>
      <c r="IO43" s="231">
        <v>15.77</v>
      </c>
      <c r="IP43" s="229">
        <f t="shared" si="59"/>
        <v>0</v>
      </c>
      <c r="IQ43" s="223"/>
      <c r="IR43" s="125"/>
      <c r="IS43" s="230">
        <v>1400</v>
      </c>
      <c r="IT43" s="233">
        <v>1.3129999999999999</v>
      </c>
      <c r="IU43" s="226">
        <f t="shared" si="60"/>
        <v>0</v>
      </c>
      <c r="IV43" s="223"/>
      <c r="IW43" s="5"/>
      <c r="IX43" s="230"/>
      <c r="IY43" s="233"/>
      <c r="IZ43" s="226"/>
      <c r="JA43" s="223"/>
      <c r="JC43" s="224">
        <v>1400</v>
      </c>
      <c r="JD43" s="225">
        <v>2.552</v>
      </c>
      <c r="JE43" s="226">
        <f t="shared" si="62"/>
        <v>0</v>
      </c>
      <c r="JF43" s="223"/>
      <c r="JG43" s="125"/>
      <c r="JH43" s="230">
        <v>1400</v>
      </c>
      <c r="JI43" s="231">
        <v>15.77</v>
      </c>
      <c r="JJ43" s="229">
        <f t="shared" si="63"/>
        <v>0</v>
      </c>
      <c r="JK43" s="223"/>
      <c r="JL43" s="125"/>
      <c r="JM43" s="230">
        <v>1400</v>
      </c>
      <c r="JN43" s="233">
        <v>1.3129999999999999</v>
      </c>
      <c r="JO43" s="226">
        <f t="shared" si="64"/>
        <v>0</v>
      </c>
      <c r="JP43" s="223"/>
      <c r="JQ43" s="5"/>
      <c r="JR43" s="230"/>
      <c r="JS43" s="233"/>
      <c r="JT43" s="226"/>
      <c r="JU43" s="223"/>
      <c r="JW43" s="224">
        <v>1400</v>
      </c>
      <c r="JX43" s="225">
        <v>2.552</v>
      </c>
      <c r="JY43" s="226">
        <f t="shared" si="0"/>
        <v>0</v>
      </c>
      <c r="JZ43" s="223"/>
      <c r="KA43" s="125"/>
      <c r="KB43" s="230">
        <v>1400</v>
      </c>
      <c r="KC43" s="231">
        <v>15.77</v>
      </c>
      <c r="KD43" s="229">
        <f t="shared" si="1"/>
        <v>0</v>
      </c>
      <c r="KE43" s="223"/>
      <c r="KF43" s="125"/>
      <c r="KG43" s="230">
        <v>1400</v>
      </c>
      <c r="KH43" s="233">
        <v>1.3129999999999999</v>
      </c>
      <c r="KI43" s="226">
        <f t="shared" si="2"/>
        <v>0</v>
      </c>
      <c r="KJ43" s="223"/>
      <c r="KK43" s="5"/>
      <c r="KL43" s="230"/>
      <c r="KM43" s="233"/>
      <c r="KN43" s="226"/>
      <c r="KO43" s="223"/>
      <c r="KQ43" s="224">
        <v>1400</v>
      </c>
      <c r="KR43" s="225">
        <v>2.552</v>
      </c>
      <c r="KS43" s="226">
        <f t="shared" si="4"/>
        <v>0</v>
      </c>
      <c r="KT43" s="223"/>
      <c r="KU43" s="125"/>
      <c r="KV43" s="230">
        <v>1400</v>
      </c>
      <c r="KW43" s="231">
        <v>15.77</v>
      </c>
      <c r="KX43" s="229">
        <f t="shared" si="5"/>
        <v>0</v>
      </c>
      <c r="KY43" s="223"/>
      <c r="KZ43" s="125"/>
      <c r="LA43" s="230">
        <v>1400</v>
      </c>
      <c r="LB43" s="233">
        <v>1.3129999999999999</v>
      </c>
      <c r="LC43" s="226">
        <f t="shared" si="6"/>
        <v>0</v>
      </c>
      <c r="LD43" s="223"/>
      <c r="LE43" s="5"/>
      <c r="LF43" s="230"/>
      <c r="LG43" s="233"/>
      <c r="LH43" s="226"/>
      <c r="LI43" s="223"/>
      <c r="LK43" s="224">
        <v>1400</v>
      </c>
      <c r="LL43" s="225">
        <v>2.552</v>
      </c>
      <c r="LM43" s="226" t="e">
        <f t="shared" si="8"/>
        <v>#REF!</v>
      </c>
      <c r="LN43" s="223"/>
      <c r="LO43" s="125"/>
      <c r="LP43" s="230">
        <v>1400</v>
      </c>
      <c r="LQ43" s="231">
        <v>15.77</v>
      </c>
      <c r="LR43" s="229" t="e">
        <f t="shared" si="9"/>
        <v>#REF!</v>
      </c>
      <c r="LS43" s="223"/>
      <c r="LT43" s="125"/>
      <c r="LU43" s="230">
        <v>1400</v>
      </c>
      <c r="LV43" s="233">
        <v>1.3129999999999999</v>
      </c>
      <c r="LW43" s="226" t="e">
        <f t="shared" si="10"/>
        <v>#REF!</v>
      </c>
      <c r="LX43" s="223"/>
      <c r="LY43" s="5"/>
      <c r="LZ43" s="230"/>
      <c r="MA43" s="233"/>
      <c r="MB43" s="226"/>
      <c r="MC43" s="223"/>
    </row>
    <row r="44" spans="2:341" ht="16" thickBot="1" x14ac:dyDescent="0.25">
      <c r="B44" s="125"/>
      <c r="C44" s="224">
        <v>1500</v>
      </c>
      <c r="D44" s="225">
        <v>2.609</v>
      </c>
      <c r="E44" s="226">
        <f t="shared" si="12"/>
        <v>0</v>
      </c>
      <c r="F44" s="223"/>
      <c r="G44" s="125"/>
      <c r="H44" s="230">
        <v>1500</v>
      </c>
      <c r="I44" s="231">
        <v>16.02</v>
      </c>
      <c r="J44" s="229">
        <f t="shared" si="13"/>
        <v>0</v>
      </c>
      <c r="K44" s="223"/>
      <c r="L44" s="125"/>
      <c r="M44" s="230">
        <v>1500</v>
      </c>
      <c r="N44" s="233">
        <v>1.3260000000000001</v>
      </c>
      <c r="O44" s="226">
        <f t="shared" si="14"/>
        <v>0</v>
      </c>
      <c r="P44" s="223"/>
      <c r="Q44" s="5"/>
      <c r="R44" s="230"/>
      <c r="S44" s="233"/>
      <c r="T44" s="226"/>
      <c r="U44" s="223"/>
      <c r="V44" s="5"/>
      <c r="W44" s="224">
        <v>1500</v>
      </c>
      <c r="X44" s="225">
        <v>2.609</v>
      </c>
      <c r="Y44" s="226">
        <f t="shared" si="16"/>
        <v>0</v>
      </c>
      <c r="Z44" s="223"/>
      <c r="AA44" s="125"/>
      <c r="AB44" s="230">
        <v>1500</v>
      </c>
      <c r="AC44" s="231">
        <v>16.02</v>
      </c>
      <c r="AD44" s="229">
        <f t="shared" si="17"/>
        <v>0</v>
      </c>
      <c r="AE44" s="223"/>
      <c r="AF44" s="125"/>
      <c r="AG44" s="230">
        <v>1500</v>
      </c>
      <c r="AH44" s="233">
        <v>1.3260000000000001</v>
      </c>
      <c r="AI44" s="226">
        <f t="shared" si="18"/>
        <v>0</v>
      </c>
      <c r="AJ44" s="223"/>
      <c r="AK44" s="5"/>
      <c r="AL44" s="154">
        <v>1500</v>
      </c>
      <c r="AM44" s="219">
        <v>1.2569999999999999</v>
      </c>
      <c r="AN44" s="226">
        <f t="shared" si="19"/>
        <v>0</v>
      </c>
      <c r="AO44" s="223"/>
      <c r="AQ44" s="224">
        <v>1500</v>
      </c>
      <c r="AR44" s="225">
        <v>2.609</v>
      </c>
      <c r="AS44" s="226">
        <f t="shared" si="20"/>
        <v>0</v>
      </c>
      <c r="AT44" s="223"/>
      <c r="AU44" s="125"/>
      <c r="AV44" s="230">
        <v>1500</v>
      </c>
      <c r="AW44" s="231">
        <v>16.02</v>
      </c>
      <c r="AX44" s="229">
        <f t="shared" si="21"/>
        <v>0</v>
      </c>
      <c r="AY44" s="223"/>
      <c r="AZ44" s="125"/>
      <c r="BA44" s="230">
        <v>1500</v>
      </c>
      <c r="BB44" s="233">
        <v>1.3260000000000001</v>
      </c>
      <c r="BC44" s="226">
        <f t="shared" si="22"/>
        <v>0</v>
      </c>
      <c r="BD44" s="223"/>
      <c r="BE44" s="5"/>
      <c r="BF44" s="230"/>
      <c r="BG44" s="233"/>
      <c r="BH44" s="226"/>
      <c r="BI44" s="223"/>
      <c r="BK44" s="224">
        <v>1500</v>
      </c>
      <c r="BL44" s="225">
        <v>2.609</v>
      </c>
      <c r="BM44" s="226">
        <f t="shared" si="24"/>
        <v>0</v>
      </c>
      <c r="BN44" s="223"/>
      <c r="BO44" s="125"/>
      <c r="BP44" s="230">
        <v>1500</v>
      </c>
      <c r="BQ44" s="231">
        <v>16.02</v>
      </c>
      <c r="BR44" s="229">
        <f t="shared" si="25"/>
        <v>0</v>
      </c>
      <c r="BS44" s="223"/>
      <c r="BT44" s="125"/>
      <c r="BU44" s="230">
        <v>1500</v>
      </c>
      <c r="BV44" s="233">
        <v>1.3260000000000001</v>
      </c>
      <c r="BW44" s="226">
        <f t="shared" si="26"/>
        <v>0</v>
      </c>
      <c r="BX44" s="223"/>
      <c r="BY44" s="5"/>
      <c r="BZ44" s="154">
        <v>1500</v>
      </c>
      <c r="CA44" s="219">
        <v>1.2569999999999999</v>
      </c>
      <c r="CB44" s="226">
        <f t="shared" si="27"/>
        <v>0</v>
      </c>
      <c r="CC44" s="223"/>
      <c r="CE44" s="224">
        <v>1500</v>
      </c>
      <c r="CF44" s="225">
        <v>2.609</v>
      </c>
      <c r="CG44" s="226">
        <f t="shared" si="28"/>
        <v>0</v>
      </c>
      <c r="CH44" s="223"/>
      <c r="CI44" s="125"/>
      <c r="CJ44" s="230">
        <v>1500</v>
      </c>
      <c r="CK44" s="231">
        <v>16.02</v>
      </c>
      <c r="CL44" s="229">
        <f t="shared" si="29"/>
        <v>0</v>
      </c>
      <c r="CM44" s="223"/>
      <c r="CN44" s="125"/>
      <c r="CO44" s="230">
        <v>1500</v>
      </c>
      <c r="CP44" s="233">
        <v>1.3260000000000001</v>
      </c>
      <c r="CQ44" s="226">
        <f t="shared" si="30"/>
        <v>0</v>
      </c>
      <c r="CR44" s="223"/>
      <c r="CT44" s="154">
        <v>1500</v>
      </c>
      <c r="CU44" s="219">
        <v>1.2569999999999999</v>
      </c>
      <c r="CV44" s="226">
        <f t="shared" si="31"/>
        <v>0</v>
      </c>
      <c r="CW44" s="223"/>
      <c r="CY44" s="224">
        <v>1500</v>
      </c>
      <c r="CZ44" s="225">
        <v>2.609</v>
      </c>
      <c r="DA44" s="226">
        <f t="shared" si="32"/>
        <v>0</v>
      </c>
      <c r="DB44" s="223"/>
      <c r="DC44" s="125"/>
      <c r="DD44" s="230">
        <v>1500</v>
      </c>
      <c r="DE44" s="231">
        <v>16.02</v>
      </c>
      <c r="DF44" s="229">
        <f t="shared" si="33"/>
        <v>0</v>
      </c>
      <c r="DG44" s="223"/>
      <c r="DH44" s="125"/>
      <c r="DI44" s="230">
        <v>1500</v>
      </c>
      <c r="DJ44" s="233">
        <v>1.3260000000000001</v>
      </c>
      <c r="DK44" s="226">
        <f t="shared" si="34"/>
        <v>0</v>
      </c>
      <c r="DL44" s="223"/>
      <c r="DN44" s="154">
        <v>1500</v>
      </c>
      <c r="DO44" s="219">
        <v>1.2569999999999999</v>
      </c>
      <c r="DP44" s="226">
        <f t="shared" si="35"/>
        <v>0</v>
      </c>
      <c r="DQ44" s="223"/>
      <c r="DS44" s="224">
        <v>1500</v>
      </c>
      <c r="DT44" s="225">
        <v>2.609</v>
      </c>
      <c r="DU44" s="226">
        <f t="shared" si="36"/>
        <v>0</v>
      </c>
      <c r="DV44" s="223"/>
      <c r="DW44" s="125"/>
      <c r="DX44" s="230">
        <v>1500</v>
      </c>
      <c r="DY44" s="231">
        <v>16.02</v>
      </c>
      <c r="DZ44" s="229">
        <f t="shared" si="37"/>
        <v>0</v>
      </c>
      <c r="EA44" s="223"/>
      <c r="EB44" s="125"/>
      <c r="EC44" s="230">
        <v>1500</v>
      </c>
      <c r="ED44" s="233">
        <v>1.3260000000000001</v>
      </c>
      <c r="EE44" s="226">
        <f t="shared" si="38"/>
        <v>0</v>
      </c>
      <c r="EF44" s="223"/>
      <c r="EH44" s="154">
        <v>1500</v>
      </c>
      <c r="EI44" s="219">
        <v>1.2569999999999999</v>
      </c>
      <c r="EJ44" s="226">
        <f t="shared" si="39"/>
        <v>0</v>
      </c>
      <c r="EK44" s="223"/>
      <c r="EM44" s="230">
        <v>1500</v>
      </c>
      <c r="EN44" s="233">
        <v>1.3260000000000001</v>
      </c>
      <c r="EO44" s="226">
        <f t="shared" si="40"/>
        <v>0</v>
      </c>
      <c r="EP44" s="223"/>
      <c r="EQ44" s="125"/>
      <c r="ER44" s="224"/>
      <c r="ES44" s="224"/>
      <c r="ET44" s="389"/>
      <c r="EU44" s="5"/>
      <c r="EV44" s="125"/>
      <c r="EW44" s="230">
        <v>1500</v>
      </c>
      <c r="EX44" s="233">
        <v>1.3260000000000001</v>
      </c>
      <c r="EY44" s="226">
        <f t="shared" si="41"/>
        <v>0</v>
      </c>
      <c r="EZ44" s="223"/>
      <c r="FA44" s="125"/>
      <c r="FB44" s="224"/>
      <c r="FC44" s="224"/>
      <c r="FD44" s="389"/>
      <c r="FE44" s="5"/>
      <c r="FG44" s="224">
        <v>1500</v>
      </c>
      <c r="FH44" s="225">
        <v>2.609</v>
      </c>
      <c r="FI44" s="226">
        <f t="shared" si="42"/>
        <v>0</v>
      </c>
      <c r="FJ44" s="223"/>
      <c r="FK44" s="125"/>
      <c r="FL44" s="230">
        <v>1500</v>
      </c>
      <c r="FM44" s="231">
        <v>16.02</v>
      </c>
      <c r="FN44" s="229">
        <f t="shared" si="43"/>
        <v>0</v>
      </c>
      <c r="FO44" s="223"/>
      <c r="FP44" s="125"/>
      <c r="FQ44" s="230">
        <v>1500</v>
      </c>
      <c r="FR44" s="233">
        <v>1.3260000000000001</v>
      </c>
      <c r="FS44" s="226">
        <f t="shared" si="44"/>
        <v>0</v>
      </c>
      <c r="FT44" s="223"/>
      <c r="FV44" s="154">
        <v>1500</v>
      </c>
      <c r="FW44" s="219">
        <v>1.2569999999999999</v>
      </c>
      <c r="FX44" s="226">
        <f t="shared" si="45"/>
        <v>0</v>
      </c>
      <c r="FY44" s="223"/>
      <c r="GA44" s="224">
        <v>1500</v>
      </c>
      <c r="GB44" s="225">
        <v>2.609</v>
      </c>
      <c r="GC44" s="226">
        <f t="shared" si="46"/>
        <v>0</v>
      </c>
      <c r="GD44" s="223"/>
      <c r="GE44" s="125"/>
      <c r="GF44" s="230">
        <v>1500</v>
      </c>
      <c r="GG44" s="231">
        <v>16.02</v>
      </c>
      <c r="GH44" s="229">
        <f t="shared" si="47"/>
        <v>0</v>
      </c>
      <c r="GI44" s="223"/>
      <c r="GJ44" s="125"/>
      <c r="GK44" s="230">
        <v>1500</v>
      </c>
      <c r="GL44" s="233">
        <v>1.3260000000000001</v>
      </c>
      <c r="GM44" s="226">
        <f t="shared" si="48"/>
        <v>0</v>
      </c>
      <c r="GN44" s="223"/>
      <c r="GP44" s="154">
        <v>1500</v>
      </c>
      <c r="GQ44" s="219">
        <v>1.2569999999999999</v>
      </c>
      <c r="GR44" s="226">
        <f t="shared" si="49"/>
        <v>0</v>
      </c>
      <c r="GS44" s="223"/>
      <c r="GU44" s="224">
        <v>1500</v>
      </c>
      <c r="GV44" s="225">
        <v>2.609</v>
      </c>
      <c r="GW44" s="226">
        <f t="shared" si="50"/>
        <v>0</v>
      </c>
      <c r="GX44" s="223"/>
      <c r="GY44" s="125"/>
      <c r="GZ44" s="230">
        <v>1500</v>
      </c>
      <c r="HA44" s="231">
        <v>16.02</v>
      </c>
      <c r="HB44" s="229">
        <f t="shared" si="51"/>
        <v>0</v>
      </c>
      <c r="HC44" s="223"/>
      <c r="HD44" s="125"/>
      <c r="HE44" s="230">
        <v>1500</v>
      </c>
      <c r="HF44" s="233">
        <v>1.3260000000000001</v>
      </c>
      <c r="HG44" s="226">
        <f t="shared" si="52"/>
        <v>0</v>
      </c>
      <c r="HH44" s="223"/>
      <c r="HI44" s="5"/>
      <c r="HJ44" s="230"/>
      <c r="HK44" s="233"/>
      <c r="HL44" s="226"/>
      <c r="HM44" s="223"/>
      <c r="HO44" s="224">
        <v>1500</v>
      </c>
      <c r="HP44" s="225">
        <v>2.609</v>
      </c>
      <c r="HQ44" s="226">
        <f t="shared" si="54"/>
        <v>0</v>
      </c>
      <c r="HR44" s="223"/>
      <c r="HS44" s="125"/>
      <c r="HT44" s="230">
        <v>1500</v>
      </c>
      <c r="HU44" s="231">
        <v>16.02</v>
      </c>
      <c r="HV44" s="229">
        <f t="shared" si="55"/>
        <v>0</v>
      </c>
      <c r="HW44" s="223"/>
      <c r="HX44" s="125"/>
      <c r="HY44" s="230">
        <v>1500</v>
      </c>
      <c r="HZ44" s="233">
        <v>1.3260000000000001</v>
      </c>
      <c r="IA44" s="226">
        <f t="shared" si="56"/>
        <v>0</v>
      </c>
      <c r="IB44" s="223"/>
      <c r="IC44" s="5"/>
      <c r="ID44" s="230"/>
      <c r="IE44" s="233"/>
      <c r="IF44" s="226"/>
      <c r="IG44" s="223"/>
      <c r="II44" s="224">
        <v>1500</v>
      </c>
      <c r="IJ44" s="225">
        <v>2.609</v>
      </c>
      <c r="IK44" s="226">
        <f t="shared" si="58"/>
        <v>0</v>
      </c>
      <c r="IL44" s="223"/>
      <c r="IM44" s="125"/>
      <c r="IN44" s="230">
        <v>1500</v>
      </c>
      <c r="IO44" s="231">
        <v>16.02</v>
      </c>
      <c r="IP44" s="229">
        <f t="shared" si="59"/>
        <v>0</v>
      </c>
      <c r="IQ44" s="223"/>
      <c r="IR44" s="125"/>
      <c r="IS44" s="230">
        <v>1500</v>
      </c>
      <c r="IT44" s="233">
        <v>1.3260000000000001</v>
      </c>
      <c r="IU44" s="226">
        <f t="shared" si="60"/>
        <v>0</v>
      </c>
      <c r="IV44" s="223"/>
      <c r="IW44" s="5"/>
      <c r="IX44" s="230"/>
      <c r="IY44" s="233"/>
      <c r="IZ44" s="226"/>
      <c r="JA44" s="223"/>
      <c r="JC44" s="224">
        <v>1500</v>
      </c>
      <c r="JD44" s="225">
        <v>2.609</v>
      </c>
      <c r="JE44" s="226">
        <f t="shared" si="62"/>
        <v>0</v>
      </c>
      <c r="JF44" s="223"/>
      <c r="JG44" s="125"/>
      <c r="JH44" s="230">
        <v>1500</v>
      </c>
      <c r="JI44" s="231">
        <v>16.02</v>
      </c>
      <c r="JJ44" s="229">
        <f t="shared" si="63"/>
        <v>0</v>
      </c>
      <c r="JK44" s="223"/>
      <c r="JL44" s="125"/>
      <c r="JM44" s="230">
        <v>1500</v>
      </c>
      <c r="JN44" s="233">
        <v>1.3260000000000001</v>
      </c>
      <c r="JO44" s="226">
        <f t="shared" si="64"/>
        <v>0</v>
      </c>
      <c r="JP44" s="223"/>
      <c r="JQ44" s="5"/>
      <c r="JR44" s="230"/>
      <c r="JS44" s="233"/>
      <c r="JT44" s="226"/>
      <c r="JU44" s="223"/>
      <c r="JW44" s="224">
        <v>1500</v>
      </c>
      <c r="JX44" s="225">
        <v>2.609</v>
      </c>
      <c r="JY44" s="226">
        <f t="shared" si="0"/>
        <v>0</v>
      </c>
      <c r="JZ44" s="223"/>
      <c r="KA44" s="125"/>
      <c r="KB44" s="230">
        <v>1500</v>
      </c>
      <c r="KC44" s="231">
        <v>16.02</v>
      </c>
      <c r="KD44" s="229">
        <f t="shared" si="1"/>
        <v>0</v>
      </c>
      <c r="KE44" s="223"/>
      <c r="KF44" s="125"/>
      <c r="KG44" s="230">
        <v>1500</v>
      </c>
      <c r="KH44" s="233">
        <v>1.3260000000000001</v>
      </c>
      <c r="KI44" s="226">
        <f t="shared" si="2"/>
        <v>0</v>
      </c>
      <c r="KJ44" s="223"/>
      <c r="KK44" s="5"/>
      <c r="KL44" s="230"/>
      <c r="KM44" s="233"/>
      <c r="KN44" s="226"/>
      <c r="KO44" s="223"/>
      <c r="KQ44" s="224">
        <v>1500</v>
      </c>
      <c r="KR44" s="225">
        <v>2.609</v>
      </c>
      <c r="KS44" s="226">
        <f t="shared" si="4"/>
        <v>0</v>
      </c>
      <c r="KT44" s="223"/>
      <c r="KU44" s="125"/>
      <c r="KV44" s="230">
        <v>1500</v>
      </c>
      <c r="KW44" s="231">
        <v>16.02</v>
      </c>
      <c r="KX44" s="229">
        <f t="shared" si="5"/>
        <v>0</v>
      </c>
      <c r="KY44" s="223"/>
      <c r="KZ44" s="125"/>
      <c r="LA44" s="230">
        <v>1500</v>
      </c>
      <c r="LB44" s="233">
        <v>1.3260000000000001</v>
      </c>
      <c r="LC44" s="226">
        <f t="shared" si="6"/>
        <v>0</v>
      </c>
      <c r="LD44" s="223"/>
      <c r="LE44" s="5"/>
      <c r="LF44" s="230"/>
      <c r="LG44" s="233"/>
      <c r="LH44" s="226"/>
      <c r="LI44" s="223"/>
      <c r="LK44" s="224">
        <v>1500</v>
      </c>
      <c r="LL44" s="225">
        <v>2.609</v>
      </c>
      <c r="LM44" s="226" t="e">
        <f t="shared" si="8"/>
        <v>#REF!</v>
      </c>
      <c r="LN44" s="223"/>
      <c r="LO44" s="125"/>
      <c r="LP44" s="230">
        <v>1500</v>
      </c>
      <c r="LQ44" s="231">
        <v>16.02</v>
      </c>
      <c r="LR44" s="229" t="e">
        <f t="shared" si="9"/>
        <v>#REF!</v>
      </c>
      <c r="LS44" s="223"/>
      <c r="LT44" s="125"/>
      <c r="LU44" s="230">
        <v>1500</v>
      </c>
      <c r="LV44" s="233">
        <v>1.3260000000000001</v>
      </c>
      <c r="LW44" s="226" t="e">
        <f t="shared" si="10"/>
        <v>#REF!</v>
      </c>
      <c r="LX44" s="223"/>
      <c r="LY44" s="5"/>
      <c r="LZ44" s="230"/>
      <c r="MA44" s="233"/>
      <c r="MB44" s="226"/>
      <c r="MC44" s="223"/>
    </row>
    <row r="45" spans="2:341" ht="16" thickBot="1" x14ac:dyDescent="0.25">
      <c r="B45" s="125"/>
      <c r="C45" s="224">
        <v>1600</v>
      </c>
      <c r="D45" s="225">
        <v>2.6619999999999999</v>
      </c>
      <c r="E45" s="226">
        <f t="shared" si="12"/>
        <v>0</v>
      </c>
      <c r="F45" s="223"/>
      <c r="G45" s="125"/>
      <c r="H45" s="230">
        <v>1600</v>
      </c>
      <c r="I45" s="231">
        <v>16.23</v>
      </c>
      <c r="J45" s="229">
        <f t="shared" si="13"/>
        <v>0</v>
      </c>
      <c r="K45" s="223"/>
      <c r="L45" s="125"/>
      <c r="M45" s="230">
        <v>1600</v>
      </c>
      <c r="N45" s="233">
        <v>1.3380000000000001</v>
      </c>
      <c r="O45" s="226">
        <f t="shared" si="14"/>
        <v>0</v>
      </c>
      <c r="P45" s="223"/>
      <c r="Q45" s="5"/>
      <c r="R45" s="230"/>
      <c r="S45" s="233"/>
      <c r="T45" s="226"/>
      <c r="U45" s="223"/>
      <c r="V45" s="5"/>
      <c r="W45" s="224">
        <v>1600</v>
      </c>
      <c r="X45" s="225">
        <v>2.6619999999999999</v>
      </c>
      <c r="Y45" s="226">
        <f t="shared" si="16"/>
        <v>0</v>
      </c>
      <c r="Z45" s="223"/>
      <c r="AA45" s="125"/>
      <c r="AB45" s="230">
        <v>1600</v>
      </c>
      <c r="AC45" s="231">
        <v>16.23</v>
      </c>
      <c r="AD45" s="229">
        <f t="shared" si="17"/>
        <v>0</v>
      </c>
      <c r="AE45" s="223"/>
      <c r="AF45" s="125"/>
      <c r="AG45" s="230">
        <v>1600</v>
      </c>
      <c r="AH45" s="233">
        <v>1.3380000000000001</v>
      </c>
      <c r="AI45" s="226">
        <f t="shared" si="18"/>
        <v>0</v>
      </c>
      <c r="AJ45" s="223"/>
      <c r="AK45" s="5"/>
      <c r="AL45" s="154">
        <v>1600</v>
      </c>
      <c r="AM45" s="219">
        <v>1.2669999999999999</v>
      </c>
      <c r="AN45" s="226">
        <f t="shared" si="19"/>
        <v>0</v>
      </c>
      <c r="AO45" s="223"/>
      <c r="AQ45" s="224">
        <v>1600</v>
      </c>
      <c r="AR45" s="225">
        <v>2.6619999999999999</v>
      </c>
      <c r="AS45" s="226">
        <f t="shared" si="20"/>
        <v>0</v>
      </c>
      <c r="AT45" s="223"/>
      <c r="AU45" s="125"/>
      <c r="AV45" s="230">
        <v>1600</v>
      </c>
      <c r="AW45" s="231">
        <v>16.23</v>
      </c>
      <c r="AX45" s="229">
        <f t="shared" si="21"/>
        <v>0</v>
      </c>
      <c r="AY45" s="223"/>
      <c r="AZ45" s="125"/>
      <c r="BA45" s="230">
        <v>1600</v>
      </c>
      <c r="BB45" s="233">
        <v>1.3380000000000001</v>
      </c>
      <c r="BC45" s="226">
        <f t="shared" si="22"/>
        <v>0</v>
      </c>
      <c r="BD45" s="223"/>
      <c r="BE45" s="5"/>
      <c r="BF45" s="230"/>
      <c r="BG45" s="233"/>
      <c r="BH45" s="226"/>
      <c r="BI45" s="223"/>
      <c r="BK45" s="224">
        <v>1600</v>
      </c>
      <c r="BL45" s="225">
        <v>2.6619999999999999</v>
      </c>
      <c r="BM45" s="226">
        <f t="shared" si="24"/>
        <v>0</v>
      </c>
      <c r="BN45" s="223"/>
      <c r="BO45" s="125"/>
      <c r="BP45" s="230">
        <v>1600</v>
      </c>
      <c r="BQ45" s="231">
        <v>16.23</v>
      </c>
      <c r="BR45" s="229">
        <f t="shared" si="25"/>
        <v>0</v>
      </c>
      <c r="BS45" s="223"/>
      <c r="BT45" s="125"/>
      <c r="BU45" s="230">
        <v>1600</v>
      </c>
      <c r="BV45" s="233">
        <v>1.3380000000000001</v>
      </c>
      <c r="BW45" s="226">
        <f t="shared" si="26"/>
        <v>0</v>
      </c>
      <c r="BX45" s="223"/>
      <c r="BY45" s="5"/>
      <c r="BZ45" s="154">
        <v>1600</v>
      </c>
      <c r="CA45" s="219">
        <v>1.2669999999999999</v>
      </c>
      <c r="CB45" s="226">
        <f t="shared" si="27"/>
        <v>0</v>
      </c>
      <c r="CC45" s="223"/>
      <c r="CE45" s="224">
        <v>1600</v>
      </c>
      <c r="CF45" s="225">
        <v>2.6619999999999999</v>
      </c>
      <c r="CG45" s="226">
        <f t="shared" si="28"/>
        <v>0</v>
      </c>
      <c r="CH45" s="223"/>
      <c r="CI45" s="125"/>
      <c r="CJ45" s="230">
        <v>1600</v>
      </c>
      <c r="CK45" s="231">
        <v>16.23</v>
      </c>
      <c r="CL45" s="229">
        <f t="shared" si="29"/>
        <v>0</v>
      </c>
      <c r="CM45" s="223"/>
      <c r="CN45" s="125"/>
      <c r="CO45" s="230">
        <v>1600</v>
      </c>
      <c r="CP45" s="233">
        <v>1.3380000000000001</v>
      </c>
      <c r="CQ45" s="226">
        <f t="shared" si="30"/>
        <v>0</v>
      </c>
      <c r="CR45" s="223"/>
      <c r="CT45" s="154">
        <v>1600</v>
      </c>
      <c r="CU45" s="219">
        <v>1.2669999999999999</v>
      </c>
      <c r="CV45" s="226">
        <f t="shared" si="31"/>
        <v>0</v>
      </c>
      <c r="CW45" s="223"/>
      <c r="CY45" s="224">
        <v>1600</v>
      </c>
      <c r="CZ45" s="225">
        <v>2.6619999999999999</v>
      </c>
      <c r="DA45" s="226">
        <f t="shared" si="32"/>
        <v>0</v>
      </c>
      <c r="DB45" s="223"/>
      <c r="DC45" s="125"/>
      <c r="DD45" s="230">
        <v>1600</v>
      </c>
      <c r="DE45" s="231">
        <v>16.23</v>
      </c>
      <c r="DF45" s="229">
        <f t="shared" si="33"/>
        <v>0</v>
      </c>
      <c r="DG45" s="223"/>
      <c r="DH45" s="125"/>
      <c r="DI45" s="230">
        <v>1600</v>
      </c>
      <c r="DJ45" s="233">
        <v>1.3380000000000001</v>
      </c>
      <c r="DK45" s="226">
        <f t="shared" si="34"/>
        <v>0</v>
      </c>
      <c r="DL45" s="223"/>
      <c r="DN45" s="154">
        <v>1600</v>
      </c>
      <c r="DO45" s="219">
        <v>1.2669999999999999</v>
      </c>
      <c r="DP45" s="226">
        <f t="shared" si="35"/>
        <v>0</v>
      </c>
      <c r="DQ45" s="223"/>
      <c r="DS45" s="224">
        <v>1600</v>
      </c>
      <c r="DT45" s="225">
        <v>2.6619999999999999</v>
      </c>
      <c r="DU45" s="226">
        <f t="shared" si="36"/>
        <v>0</v>
      </c>
      <c r="DV45" s="223"/>
      <c r="DW45" s="125"/>
      <c r="DX45" s="230">
        <v>1600</v>
      </c>
      <c r="DY45" s="231">
        <v>16.23</v>
      </c>
      <c r="DZ45" s="229">
        <f t="shared" si="37"/>
        <v>0</v>
      </c>
      <c r="EA45" s="223"/>
      <c r="EB45" s="125"/>
      <c r="EC45" s="230">
        <v>1600</v>
      </c>
      <c r="ED45" s="233">
        <v>1.3380000000000001</v>
      </c>
      <c r="EE45" s="226">
        <f t="shared" si="38"/>
        <v>0</v>
      </c>
      <c r="EF45" s="223"/>
      <c r="EH45" s="154">
        <v>1600</v>
      </c>
      <c r="EI45" s="219">
        <v>1.2669999999999999</v>
      </c>
      <c r="EJ45" s="226">
        <f t="shared" si="39"/>
        <v>0</v>
      </c>
      <c r="EK45" s="223"/>
      <c r="EM45" s="230">
        <v>1600</v>
      </c>
      <c r="EN45" s="233">
        <v>1.3380000000000001</v>
      </c>
      <c r="EO45" s="226">
        <f t="shared" si="40"/>
        <v>0</v>
      </c>
      <c r="EP45" s="223"/>
      <c r="EQ45" s="125"/>
      <c r="ER45" s="224"/>
      <c r="ES45" s="224"/>
      <c r="ET45" s="389"/>
      <c r="EU45" s="5"/>
      <c r="EV45" s="125"/>
      <c r="EW45" s="230">
        <v>1600</v>
      </c>
      <c r="EX45" s="233">
        <v>1.3380000000000001</v>
      </c>
      <c r="EY45" s="226">
        <f t="shared" si="41"/>
        <v>0</v>
      </c>
      <c r="EZ45" s="223"/>
      <c r="FA45" s="125"/>
      <c r="FB45" s="224"/>
      <c r="FC45" s="224"/>
      <c r="FD45" s="389"/>
      <c r="FE45" s="5"/>
      <c r="FG45" s="224">
        <v>1600</v>
      </c>
      <c r="FH45" s="225">
        <v>2.6619999999999999</v>
      </c>
      <c r="FI45" s="226">
        <f t="shared" si="42"/>
        <v>0</v>
      </c>
      <c r="FJ45" s="223"/>
      <c r="FK45" s="125"/>
      <c r="FL45" s="230">
        <v>1600</v>
      </c>
      <c r="FM45" s="231">
        <v>16.23</v>
      </c>
      <c r="FN45" s="229">
        <f t="shared" si="43"/>
        <v>0</v>
      </c>
      <c r="FO45" s="223"/>
      <c r="FP45" s="125"/>
      <c r="FQ45" s="230">
        <v>1600</v>
      </c>
      <c r="FR45" s="233">
        <v>1.3380000000000001</v>
      </c>
      <c r="FS45" s="226">
        <f t="shared" si="44"/>
        <v>0</v>
      </c>
      <c r="FT45" s="223"/>
      <c r="FV45" s="154">
        <v>1600</v>
      </c>
      <c r="FW45" s="219">
        <v>1.2669999999999999</v>
      </c>
      <c r="FX45" s="226">
        <f t="shared" si="45"/>
        <v>0</v>
      </c>
      <c r="FY45" s="223"/>
      <c r="GA45" s="224">
        <v>1600</v>
      </c>
      <c r="GB45" s="225">
        <v>2.6619999999999999</v>
      </c>
      <c r="GC45" s="226">
        <f t="shared" si="46"/>
        <v>0</v>
      </c>
      <c r="GD45" s="223"/>
      <c r="GE45" s="125"/>
      <c r="GF45" s="230">
        <v>1600</v>
      </c>
      <c r="GG45" s="231">
        <v>16.23</v>
      </c>
      <c r="GH45" s="229">
        <f t="shared" si="47"/>
        <v>0</v>
      </c>
      <c r="GI45" s="223"/>
      <c r="GJ45" s="125"/>
      <c r="GK45" s="230">
        <v>1600</v>
      </c>
      <c r="GL45" s="233">
        <v>1.3380000000000001</v>
      </c>
      <c r="GM45" s="226">
        <f t="shared" si="48"/>
        <v>0</v>
      </c>
      <c r="GN45" s="223"/>
      <c r="GP45" s="154">
        <v>1600</v>
      </c>
      <c r="GQ45" s="219">
        <v>1.2669999999999999</v>
      </c>
      <c r="GR45" s="226">
        <f t="shared" si="49"/>
        <v>0</v>
      </c>
      <c r="GS45" s="223"/>
      <c r="GU45" s="224">
        <v>1600</v>
      </c>
      <c r="GV45" s="225">
        <v>2.6619999999999999</v>
      </c>
      <c r="GW45" s="226">
        <f t="shared" si="50"/>
        <v>0</v>
      </c>
      <c r="GX45" s="223"/>
      <c r="GY45" s="125"/>
      <c r="GZ45" s="230">
        <v>1600</v>
      </c>
      <c r="HA45" s="231">
        <v>16.23</v>
      </c>
      <c r="HB45" s="229">
        <f t="shared" si="51"/>
        <v>0</v>
      </c>
      <c r="HC45" s="223"/>
      <c r="HD45" s="125"/>
      <c r="HE45" s="230">
        <v>1600</v>
      </c>
      <c r="HF45" s="233">
        <v>1.3380000000000001</v>
      </c>
      <c r="HG45" s="226">
        <f t="shared" si="52"/>
        <v>0</v>
      </c>
      <c r="HH45" s="223"/>
      <c r="HI45" s="5"/>
      <c r="HJ45" s="230"/>
      <c r="HK45" s="233"/>
      <c r="HL45" s="226"/>
      <c r="HM45" s="223"/>
      <c r="HO45" s="224">
        <v>1600</v>
      </c>
      <c r="HP45" s="225">
        <v>2.6619999999999999</v>
      </c>
      <c r="HQ45" s="226">
        <f t="shared" si="54"/>
        <v>0</v>
      </c>
      <c r="HR45" s="223"/>
      <c r="HS45" s="125"/>
      <c r="HT45" s="230">
        <v>1600</v>
      </c>
      <c r="HU45" s="231">
        <v>16.23</v>
      </c>
      <c r="HV45" s="229">
        <f t="shared" si="55"/>
        <v>0</v>
      </c>
      <c r="HW45" s="223"/>
      <c r="HX45" s="125"/>
      <c r="HY45" s="230">
        <v>1600</v>
      </c>
      <c r="HZ45" s="233">
        <v>1.3380000000000001</v>
      </c>
      <c r="IA45" s="226">
        <f t="shared" si="56"/>
        <v>0</v>
      </c>
      <c r="IB45" s="223"/>
      <c r="IC45" s="5"/>
      <c r="ID45" s="230"/>
      <c r="IE45" s="233"/>
      <c r="IF45" s="226"/>
      <c r="IG45" s="223"/>
      <c r="II45" s="224">
        <v>1600</v>
      </c>
      <c r="IJ45" s="225">
        <v>2.6619999999999999</v>
      </c>
      <c r="IK45" s="226">
        <f t="shared" si="58"/>
        <v>0</v>
      </c>
      <c r="IL45" s="223"/>
      <c r="IM45" s="125"/>
      <c r="IN45" s="230">
        <v>1600</v>
      </c>
      <c r="IO45" s="231">
        <v>16.23</v>
      </c>
      <c r="IP45" s="229">
        <f t="shared" si="59"/>
        <v>0</v>
      </c>
      <c r="IQ45" s="223"/>
      <c r="IR45" s="125"/>
      <c r="IS45" s="230">
        <v>1600</v>
      </c>
      <c r="IT45" s="233">
        <v>1.3380000000000001</v>
      </c>
      <c r="IU45" s="226">
        <f t="shared" si="60"/>
        <v>0</v>
      </c>
      <c r="IV45" s="223"/>
      <c r="IW45" s="5"/>
      <c r="IX45" s="230"/>
      <c r="IY45" s="233"/>
      <c r="IZ45" s="226"/>
      <c r="JA45" s="223"/>
      <c r="JC45" s="224">
        <v>1600</v>
      </c>
      <c r="JD45" s="225">
        <v>2.6619999999999999</v>
      </c>
      <c r="JE45" s="226">
        <f t="shared" si="62"/>
        <v>0</v>
      </c>
      <c r="JF45" s="223"/>
      <c r="JG45" s="125"/>
      <c r="JH45" s="230">
        <v>1600</v>
      </c>
      <c r="JI45" s="231">
        <v>16.23</v>
      </c>
      <c r="JJ45" s="229">
        <f t="shared" si="63"/>
        <v>0</v>
      </c>
      <c r="JK45" s="223"/>
      <c r="JL45" s="125"/>
      <c r="JM45" s="230">
        <v>1600</v>
      </c>
      <c r="JN45" s="233">
        <v>1.3380000000000001</v>
      </c>
      <c r="JO45" s="226">
        <f t="shared" si="64"/>
        <v>0</v>
      </c>
      <c r="JP45" s="223"/>
      <c r="JQ45" s="5"/>
      <c r="JR45" s="230"/>
      <c r="JS45" s="233"/>
      <c r="JT45" s="226"/>
      <c r="JU45" s="223"/>
      <c r="JW45" s="224">
        <v>1600</v>
      </c>
      <c r="JX45" s="225">
        <v>2.6619999999999999</v>
      </c>
      <c r="JY45" s="226">
        <f t="shared" si="0"/>
        <v>0</v>
      </c>
      <c r="JZ45" s="223"/>
      <c r="KA45" s="125"/>
      <c r="KB45" s="230">
        <v>1600</v>
      </c>
      <c r="KC45" s="231">
        <v>16.23</v>
      </c>
      <c r="KD45" s="229">
        <f t="shared" si="1"/>
        <v>0</v>
      </c>
      <c r="KE45" s="223"/>
      <c r="KF45" s="125"/>
      <c r="KG45" s="230">
        <v>1600</v>
      </c>
      <c r="KH45" s="233">
        <v>1.3380000000000001</v>
      </c>
      <c r="KI45" s="226">
        <f t="shared" si="2"/>
        <v>0</v>
      </c>
      <c r="KJ45" s="223"/>
      <c r="KK45" s="5"/>
      <c r="KL45" s="230"/>
      <c r="KM45" s="233"/>
      <c r="KN45" s="226"/>
      <c r="KO45" s="223"/>
      <c r="KQ45" s="224">
        <v>1600</v>
      </c>
      <c r="KR45" s="225">
        <v>2.6619999999999999</v>
      </c>
      <c r="KS45" s="226">
        <f t="shared" si="4"/>
        <v>0</v>
      </c>
      <c r="KT45" s="223"/>
      <c r="KU45" s="125"/>
      <c r="KV45" s="230">
        <v>1600</v>
      </c>
      <c r="KW45" s="231">
        <v>16.23</v>
      </c>
      <c r="KX45" s="229">
        <f t="shared" si="5"/>
        <v>0</v>
      </c>
      <c r="KY45" s="223"/>
      <c r="KZ45" s="125"/>
      <c r="LA45" s="230">
        <v>1600</v>
      </c>
      <c r="LB45" s="233">
        <v>1.3380000000000001</v>
      </c>
      <c r="LC45" s="226">
        <f t="shared" si="6"/>
        <v>0</v>
      </c>
      <c r="LD45" s="223"/>
      <c r="LE45" s="5"/>
      <c r="LF45" s="230"/>
      <c r="LG45" s="233"/>
      <c r="LH45" s="226"/>
      <c r="LI45" s="223"/>
      <c r="LK45" s="224">
        <v>1600</v>
      </c>
      <c r="LL45" s="225">
        <v>2.6619999999999999</v>
      </c>
      <c r="LM45" s="226" t="e">
        <f t="shared" si="8"/>
        <v>#REF!</v>
      </c>
      <c r="LN45" s="223"/>
      <c r="LO45" s="125"/>
      <c r="LP45" s="230">
        <v>1600</v>
      </c>
      <c r="LQ45" s="231">
        <v>16.23</v>
      </c>
      <c r="LR45" s="229" t="e">
        <f t="shared" si="9"/>
        <v>#REF!</v>
      </c>
      <c r="LS45" s="223"/>
      <c r="LT45" s="125"/>
      <c r="LU45" s="230">
        <v>1600</v>
      </c>
      <c r="LV45" s="233">
        <v>1.3380000000000001</v>
      </c>
      <c r="LW45" s="226" t="e">
        <f t="shared" si="10"/>
        <v>#REF!</v>
      </c>
      <c r="LX45" s="223"/>
      <c r="LY45" s="5"/>
      <c r="LZ45" s="230"/>
      <c r="MA45" s="233"/>
      <c r="MB45" s="226"/>
      <c r="MC45" s="223"/>
    </row>
    <row r="46" spans="2:341" ht="16" thickBot="1" x14ac:dyDescent="0.25">
      <c r="B46" s="125"/>
      <c r="C46" s="224">
        <v>1700</v>
      </c>
      <c r="D46" s="225">
        <v>2.7109999999999999</v>
      </c>
      <c r="E46" s="226">
        <f t="shared" si="12"/>
        <v>0</v>
      </c>
      <c r="F46" s="223"/>
      <c r="G46" s="125"/>
      <c r="H46" s="234">
        <v>1700</v>
      </c>
      <c r="I46" s="235">
        <v>16.440000000000001</v>
      </c>
      <c r="J46" s="229">
        <f t="shared" si="13"/>
        <v>0</v>
      </c>
      <c r="K46" s="223"/>
      <c r="L46" s="125"/>
      <c r="M46" s="234">
        <v>1700</v>
      </c>
      <c r="N46" s="236">
        <v>1.3480000000000001</v>
      </c>
      <c r="O46" s="226">
        <f t="shared" si="14"/>
        <v>0</v>
      </c>
      <c r="P46" s="223"/>
      <c r="Q46" s="5"/>
      <c r="R46" s="234"/>
      <c r="S46" s="236"/>
      <c r="T46" s="226"/>
      <c r="U46" s="223"/>
      <c r="V46" s="5"/>
      <c r="W46" s="224">
        <v>1700</v>
      </c>
      <c r="X46" s="225">
        <v>2.7109999999999999</v>
      </c>
      <c r="Y46" s="226">
        <f t="shared" si="16"/>
        <v>0</v>
      </c>
      <c r="Z46" s="223"/>
      <c r="AA46" s="125"/>
      <c r="AB46" s="234">
        <v>1700</v>
      </c>
      <c r="AC46" s="235">
        <v>16.440000000000001</v>
      </c>
      <c r="AD46" s="229">
        <f t="shared" si="17"/>
        <v>0</v>
      </c>
      <c r="AE46" s="223"/>
      <c r="AF46" s="125"/>
      <c r="AG46" s="234">
        <v>1700</v>
      </c>
      <c r="AH46" s="236">
        <v>1.3480000000000001</v>
      </c>
      <c r="AI46" s="226">
        <f t="shared" si="18"/>
        <v>0</v>
      </c>
      <c r="AJ46" s="223"/>
      <c r="AK46" s="5"/>
      <c r="AL46" s="156">
        <v>1700</v>
      </c>
      <c r="AM46" s="220">
        <v>1.2749999999999999</v>
      </c>
      <c r="AN46" s="226">
        <f t="shared" si="19"/>
        <v>0</v>
      </c>
      <c r="AO46" s="223"/>
      <c r="AQ46" s="224">
        <v>1700</v>
      </c>
      <c r="AR46" s="225">
        <v>2.7109999999999999</v>
      </c>
      <c r="AS46" s="226">
        <f t="shared" si="20"/>
        <v>0</v>
      </c>
      <c r="AT46" s="223"/>
      <c r="AU46" s="125"/>
      <c r="AV46" s="234">
        <v>1700</v>
      </c>
      <c r="AW46" s="235">
        <v>16.440000000000001</v>
      </c>
      <c r="AX46" s="229">
        <f t="shared" si="21"/>
        <v>0</v>
      </c>
      <c r="AY46" s="223"/>
      <c r="AZ46" s="125"/>
      <c r="BA46" s="234">
        <v>1700</v>
      </c>
      <c r="BB46" s="236">
        <v>1.3480000000000001</v>
      </c>
      <c r="BC46" s="226">
        <f t="shared" si="22"/>
        <v>0</v>
      </c>
      <c r="BD46" s="223"/>
      <c r="BE46" s="5"/>
      <c r="BF46" s="234"/>
      <c r="BG46" s="236"/>
      <c r="BH46" s="226"/>
      <c r="BI46" s="223"/>
      <c r="BK46" s="224">
        <v>1700</v>
      </c>
      <c r="BL46" s="225">
        <v>2.7109999999999999</v>
      </c>
      <c r="BM46" s="226">
        <f t="shared" si="24"/>
        <v>0</v>
      </c>
      <c r="BN46" s="223"/>
      <c r="BO46" s="125"/>
      <c r="BP46" s="234">
        <v>1700</v>
      </c>
      <c r="BQ46" s="235">
        <v>16.440000000000001</v>
      </c>
      <c r="BR46" s="229">
        <f t="shared" si="25"/>
        <v>0</v>
      </c>
      <c r="BS46" s="223"/>
      <c r="BT46" s="125"/>
      <c r="BU46" s="234">
        <v>1700</v>
      </c>
      <c r="BV46" s="236">
        <v>1.3480000000000001</v>
      </c>
      <c r="BW46" s="226">
        <f t="shared" si="26"/>
        <v>0</v>
      </c>
      <c r="BX46" s="223"/>
      <c r="BY46" s="5"/>
      <c r="BZ46" s="156">
        <v>1700</v>
      </c>
      <c r="CA46" s="220">
        <v>1.2749999999999999</v>
      </c>
      <c r="CB46" s="226">
        <f t="shared" si="27"/>
        <v>0</v>
      </c>
      <c r="CC46" s="223"/>
      <c r="CE46" s="224">
        <v>1700</v>
      </c>
      <c r="CF46" s="225">
        <v>2.7109999999999999</v>
      </c>
      <c r="CG46" s="226">
        <f t="shared" si="28"/>
        <v>0</v>
      </c>
      <c r="CH46" s="223"/>
      <c r="CI46" s="125"/>
      <c r="CJ46" s="234">
        <v>1700</v>
      </c>
      <c r="CK46" s="235">
        <v>16.440000000000001</v>
      </c>
      <c r="CL46" s="229">
        <f t="shared" si="29"/>
        <v>0</v>
      </c>
      <c r="CM46" s="223"/>
      <c r="CN46" s="125"/>
      <c r="CO46" s="234">
        <v>1700</v>
      </c>
      <c r="CP46" s="236">
        <v>1.3480000000000001</v>
      </c>
      <c r="CQ46" s="226">
        <f t="shared" si="30"/>
        <v>0</v>
      </c>
      <c r="CR46" s="223"/>
      <c r="CT46" s="156">
        <v>1700</v>
      </c>
      <c r="CU46" s="220">
        <v>1.2749999999999999</v>
      </c>
      <c r="CV46" s="226">
        <f t="shared" si="31"/>
        <v>0</v>
      </c>
      <c r="CW46" s="223"/>
      <c r="CY46" s="224">
        <v>1700</v>
      </c>
      <c r="CZ46" s="225">
        <v>2.7109999999999999</v>
      </c>
      <c r="DA46" s="226">
        <f t="shared" si="32"/>
        <v>0</v>
      </c>
      <c r="DB46" s="223"/>
      <c r="DC46" s="125"/>
      <c r="DD46" s="234">
        <v>1700</v>
      </c>
      <c r="DE46" s="235">
        <v>16.440000000000001</v>
      </c>
      <c r="DF46" s="229">
        <f t="shared" si="33"/>
        <v>0</v>
      </c>
      <c r="DG46" s="223"/>
      <c r="DH46" s="125"/>
      <c r="DI46" s="234">
        <v>1700</v>
      </c>
      <c r="DJ46" s="236">
        <v>1.3480000000000001</v>
      </c>
      <c r="DK46" s="226">
        <f t="shared" si="34"/>
        <v>0</v>
      </c>
      <c r="DL46" s="223"/>
      <c r="DN46" s="156">
        <v>1700</v>
      </c>
      <c r="DO46" s="220">
        <v>1.2749999999999999</v>
      </c>
      <c r="DP46" s="226">
        <f t="shared" si="35"/>
        <v>0</v>
      </c>
      <c r="DQ46" s="223"/>
      <c r="DS46" s="224">
        <v>1700</v>
      </c>
      <c r="DT46" s="225">
        <v>2.7109999999999999</v>
      </c>
      <c r="DU46" s="226">
        <f t="shared" si="36"/>
        <v>0</v>
      </c>
      <c r="DV46" s="223"/>
      <c r="DW46" s="125"/>
      <c r="DX46" s="234">
        <v>1700</v>
      </c>
      <c r="DY46" s="235">
        <v>16.440000000000001</v>
      </c>
      <c r="DZ46" s="229">
        <f t="shared" si="37"/>
        <v>0</v>
      </c>
      <c r="EA46" s="223"/>
      <c r="EB46" s="125"/>
      <c r="EC46" s="234">
        <v>1700</v>
      </c>
      <c r="ED46" s="236">
        <v>1.3480000000000001</v>
      </c>
      <c r="EE46" s="226">
        <f t="shared" si="38"/>
        <v>0</v>
      </c>
      <c r="EF46" s="223"/>
      <c r="EH46" s="156">
        <v>1700</v>
      </c>
      <c r="EI46" s="220">
        <v>1.2749999999999999</v>
      </c>
      <c r="EJ46" s="226">
        <f t="shared" si="39"/>
        <v>0</v>
      </c>
      <c r="EK46" s="223"/>
      <c r="EM46" s="234">
        <v>1700</v>
      </c>
      <c r="EN46" s="236">
        <v>1.3480000000000001</v>
      </c>
      <c r="EO46" s="226">
        <f t="shared" si="40"/>
        <v>0</v>
      </c>
      <c r="EP46" s="223"/>
      <c r="EQ46" s="125"/>
      <c r="ER46" s="224"/>
      <c r="ES46" s="224"/>
      <c r="ET46" s="389"/>
      <c r="EU46" s="5"/>
      <c r="EV46" s="125"/>
      <c r="EW46" s="234">
        <v>1700</v>
      </c>
      <c r="EX46" s="236">
        <v>1.3480000000000001</v>
      </c>
      <c r="EY46" s="226">
        <f t="shared" si="41"/>
        <v>0</v>
      </c>
      <c r="EZ46" s="223"/>
      <c r="FA46" s="125"/>
      <c r="FB46" s="224"/>
      <c r="FC46" s="224"/>
      <c r="FD46" s="389"/>
      <c r="FE46" s="5"/>
      <c r="FG46" s="224">
        <v>1700</v>
      </c>
      <c r="FH46" s="225">
        <v>2.7109999999999999</v>
      </c>
      <c r="FI46" s="226">
        <f t="shared" si="42"/>
        <v>0</v>
      </c>
      <c r="FJ46" s="223"/>
      <c r="FK46" s="125"/>
      <c r="FL46" s="234">
        <v>1700</v>
      </c>
      <c r="FM46" s="235">
        <v>16.440000000000001</v>
      </c>
      <c r="FN46" s="229">
        <f t="shared" si="43"/>
        <v>0</v>
      </c>
      <c r="FO46" s="223"/>
      <c r="FP46" s="125"/>
      <c r="FQ46" s="234">
        <v>1700</v>
      </c>
      <c r="FR46" s="236">
        <v>1.3480000000000001</v>
      </c>
      <c r="FS46" s="226">
        <f t="shared" si="44"/>
        <v>0</v>
      </c>
      <c r="FT46" s="223"/>
      <c r="FV46" s="156">
        <v>1700</v>
      </c>
      <c r="FW46" s="220">
        <v>1.2749999999999999</v>
      </c>
      <c r="FX46" s="226">
        <f t="shared" si="45"/>
        <v>0</v>
      </c>
      <c r="FY46" s="223"/>
      <c r="GA46" s="224">
        <v>1700</v>
      </c>
      <c r="GB46" s="225">
        <v>2.7109999999999999</v>
      </c>
      <c r="GC46" s="226">
        <f t="shared" si="46"/>
        <v>0</v>
      </c>
      <c r="GD46" s="223"/>
      <c r="GE46" s="125"/>
      <c r="GF46" s="234">
        <v>1700</v>
      </c>
      <c r="GG46" s="235">
        <v>16.440000000000001</v>
      </c>
      <c r="GH46" s="229">
        <f t="shared" si="47"/>
        <v>0</v>
      </c>
      <c r="GI46" s="223"/>
      <c r="GJ46" s="125"/>
      <c r="GK46" s="234">
        <v>1700</v>
      </c>
      <c r="GL46" s="236">
        <v>1.3480000000000001</v>
      </c>
      <c r="GM46" s="226">
        <f t="shared" si="48"/>
        <v>0</v>
      </c>
      <c r="GN46" s="223"/>
      <c r="GP46" s="156">
        <v>1700</v>
      </c>
      <c r="GQ46" s="220">
        <v>1.2749999999999999</v>
      </c>
      <c r="GR46" s="226">
        <f t="shared" si="49"/>
        <v>0</v>
      </c>
      <c r="GS46" s="223"/>
      <c r="GU46" s="224">
        <v>1700</v>
      </c>
      <c r="GV46" s="225">
        <v>2.7109999999999999</v>
      </c>
      <c r="GW46" s="226">
        <f t="shared" si="50"/>
        <v>0</v>
      </c>
      <c r="GX46" s="223"/>
      <c r="GY46" s="125"/>
      <c r="GZ46" s="234">
        <v>1700</v>
      </c>
      <c r="HA46" s="235">
        <v>16.440000000000001</v>
      </c>
      <c r="HB46" s="229">
        <f t="shared" si="51"/>
        <v>0</v>
      </c>
      <c r="HC46" s="223"/>
      <c r="HD46" s="125"/>
      <c r="HE46" s="234">
        <v>1700</v>
      </c>
      <c r="HF46" s="236">
        <v>1.3480000000000001</v>
      </c>
      <c r="HG46" s="226">
        <f t="shared" si="52"/>
        <v>0</v>
      </c>
      <c r="HH46" s="223"/>
      <c r="HI46" s="5"/>
      <c r="HJ46" s="234"/>
      <c r="HK46" s="236"/>
      <c r="HL46" s="226"/>
      <c r="HM46" s="223"/>
      <c r="HO46" s="224">
        <v>1700</v>
      </c>
      <c r="HP46" s="225">
        <v>2.7109999999999999</v>
      </c>
      <c r="HQ46" s="226">
        <f t="shared" si="54"/>
        <v>0</v>
      </c>
      <c r="HR46" s="223"/>
      <c r="HS46" s="125"/>
      <c r="HT46" s="234">
        <v>1700</v>
      </c>
      <c r="HU46" s="235">
        <v>16.440000000000001</v>
      </c>
      <c r="HV46" s="229">
        <f t="shared" si="55"/>
        <v>0</v>
      </c>
      <c r="HW46" s="223"/>
      <c r="HX46" s="125"/>
      <c r="HY46" s="234">
        <v>1700</v>
      </c>
      <c r="HZ46" s="236">
        <v>1.3480000000000001</v>
      </c>
      <c r="IA46" s="226">
        <f t="shared" si="56"/>
        <v>0</v>
      </c>
      <c r="IB46" s="223"/>
      <c r="IC46" s="5"/>
      <c r="ID46" s="234"/>
      <c r="IE46" s="236"/>
      <c r="IF46" s="226"/>
      <c r="IG46" s="223"/>
      <c r="II46" s="224">
        <v>1700</v>
      </c>
      <c r="IJ46" s="225">
        <v>2.7109999999999999</v>
      </c>
      <c r="IK46" s="226">
        <f t="shared" si="58"/>
        <v>0</v>
      </c>
      <c r="IL46" s="223"/>
      <c r="IM46" s="125"/>
      <c r="IN46" s="234">
        <v>1700</v>
      </c>
      <c r="IO46" s="235">
        <v>16.440000000000001</v>
      </c>
      <c r="IP46" s="229">
        <f t="shared" si="59"/>
        <v>0</v>
      </c>
      <c r="IQ46" s="223"/>
      <c r="IR46" s="125"/>
      <c r="IS46" s="234">
        <v>1700</v>
      </c>
      <c r="IT46" s="236">
        <v>1.3480000000000001</v>
      </c>
      <c r="IU46" s="226">
        <f t="shared" si="60"/>
        <v>0</v>
      </c>
      <c r="IV46" s="223"/>
      <c r="IW46" s="5"/>
      <c r="IX46" s="234"/>
      <c r="IY46" s="236"/>
      <c r="IZ46" s="226"/>
      <c r="JA46" s="223"/>
      <c r="JC46" s="224">
        <v>1700</v>
      </c>
      <c r="JD46" s="225">
        <v>2.7109999999999999</v>
      </c>
      <c r="JE46" s="226">
        <f t="shared" si="62"/>
        <v>0</v>
      </c>
      <c r="JF46" s="223"/>
      <c r="JG46" s="125"/>
      <c r="JH46" s="234">
        <v>1700</v>
      </c>
      <c r="JI46" s="235">
        <v>16.440000000000001</v>
      </c>
      <c r="JJ46" s="229">
        <f t="shared" si="63"/>
        <v>0</v>
      </c>
      <c r="JK46" s="223"/>
      <c r="JL46" s="125"/>
      <c r="JM46" s="234">
        <v>1700</v>
      </c>
      <c r="JN46" s="236">
        <v>1.3480000000000001</v>
      </c>
      <c r="JO46" s="226">
        <f t="shared" si="64"/>
        <v>0</v>
      </c>
      <c r="JP46" s="223"/>
      <c r="JQ46" s="5"/>
      <c r="JR46" s="234"/>
      <c r="JS46" s="236"/>
      <c r="JT46" s="226"/>
      <c r="JU46" s="223"/>
      <c r="JW46" s="224">
        <v>1700</v>
      </c>
      <c r="JX46" s="225">
        <v>2.7109999999999999</v>
      </c>
      <c r="JY46" s="226">
        <f t="shared" si="0"/>
        <v>0</v>
      </c>
      <c r="JZ46" s="223"/>
      <c r="KA46" s="125"/>
      <c r="KB46" s="234">
        <v>1700</v>
      </c>
      <c r="KC46" s="235">
        <v>16.440000000000001</v>
      </c>
      <c r="KD46" s="229">
        <f t="shared" si="1"/>
        <v>0</v>
      </c>
      <c r="KE46" s="223"/>
      <c r="KF46" s="125"/>
      <c r="KG46" s="234">
        <v>1700</v>
      </c>
      <c r="KH46" s="236">
        <v>1.3480000000000001</v>
      </c>
      <c r="KI46" s="226">
        <f t="shared" si="2"/>
        <v>0</v>
      </c>
      <c r="KJ46" s="223"/>
      <c r="KK46" s="5"/>
      <c r="KL46" s="234"/>
      <c r="KM46" s="236"/>
      <c r="KN46" s="226"/>
      <c r="KO46" s="223"/>
      <c r="KQ46" s="224">
        <v>1700</v>
      </c>
      <c r="KR46" s="225">
        <v>2.7109999999999999</v>
      </c>
      <c r="KS46" s="226">
        <f t="shared" si="4"/>
        <v>0</v>
      </c>
      <c r="KT46" s="223"/>
      <c r="KU46" s="125"/>
      <c r="KV46" s="234">
        <v>1700</v>
      </c>
      <c r="KW46" s="235">
        <v>16.440000000000001</v>
      </c>
      <c r="KX46" s="229">
        <f t="shared" si="5"/>
        <v>0</v>
      </c>
      <c r="KY46" s="223"/>
      <c r="KZ46" s="125"/>
      <c r="LA46" s="234">
        <v>1700</v>
      </c>
      <c r="LB46" s="236">
        <v>1.3480000000000001</v>
      </c>
      <c r="LC46" s="226">
        <f t="shared" si="6"/>
        <v>0</v>
      </c>
      <c r="LD46" s="223"/>
      <c r="LE46" s="5"/>
      <c r="LF46" s="234"/>
      <c r="LG46" s="236"/>
      <c r="LH46" s="226"/>
      <c r="LI46" s="223"/>
      <c r="LK46" s="224">
        <v>1700</v>
      </c>
      <c r="LL46" s="225">
        <v>2.7109999999999999</v>
      </c>
      <c r="LM46" s="226" t="e">
        <f t="shared" si="8"/>
        <v>#REF!</v>
      </c>
      <c r="LN46" s="223"/>
      <c r="LO46" s="125"/>
      <c r="LP46" s="234">
        <v>1700</v>
      </c>
      <c r="LQ46" s="235">
        <v>16.440000000000001</v>
      </c>
      <c r="LR46" s="229" t="e">
        <f t="shared" si="9"/>
        <v>#REF!</v>
      </c>
      <c r="LS46" s="223"/>
      <c r="LT46" s="125"/>
      <c r="LU46" s="234">
        <v>1700</v>
      </c>
      <c r="LV46" s="236">
        <v>1.3480000000000001</v>
      </c>
      <c r="LW46" s="226" t="e">
        <f t="shared" si="10"/>
        <v>#REF!</v>
      </c>
      <c r="LX46" s="223"/>
      <c r="LY46" s="5"/>
      <c r="LZ46" s="234"/>
      <c r="MA46" s="236"/>
      <c r="MB46" s="226"/>
      <c r="MC46" s="223"/>
    </row>
    <row r="47" spans="2:341" x14ac:dyDescent="0.2">
      <c r="C47" s="18"/>
      <c r="D47" s="9"/>
      <c r="E47" s="2"/>
      <c r="F47" s="16"/>
      <c r="H47" s="18"/>
      <c r="I47" s="9"/>
      <c r="J47" s="2"/>
      <c r="K47" s="16"/>
      <c r="M47" s="18"/>
      <c r="N47" s="9"/>
      <c r="O47" s="2"/>
      <c r="P47" s="16"/>
      <c r="Q47" s="5"/>
      <c r="R47" s="18"/>
      <c r="S47" s="9"/>
      <c r="T47" s="2"/>
      <c r="U47" s="16"/>
      <c r="V47" s="5"/>
      <c r="W47" s="18"/>
      <c r="X47" s="9"/>
      <c r="Y47" s="2"/>
      <c r="Z47" s="16"/>
      <c r="AB47" s="18"/>
      <c r="AC47" s="9"/>
      <c r="AD47" s="2"/>
      <c r="AE47" s="16"/>
      <c r="AF47" s="125"/>
      <c r="AG47" s="18"/>
      <c r="AH47" s="9"/>
      <c r="AI47" s="2"/>
      <c r="AJ47" s="16"/>
      <c r="AK47" s="2"/>
      <c r="AL47" s="18"/>
      <c r="AM47" s="9" t="s">
        <v>286</v>
      </c>
      <c r="AN47" s="2"/>
      <c r="AO47" s="16"/>
      <c r="AQ47" s="18"/>
      <c r="AR47" s="9"/>
      <c r="AS47" s="2"/>
      <c r="AT47" s="16"/>
      <c r="AV47" s="18"/>
      <c r="AW47" s="9"/>
      <c r="AX47" s="2"/>
      <c r="AY47" s="16"/>
      <c r="BA47" s="18"/>
      <c r="BB47" s="9"/>
      <c r="BC47" s="2"/>
      <c r="BD47" s="16"/>
      <c r="BE47" s="5"/>
      <c r="BF47" s="18"/>
      <c r="BG47" s="9"/>
      <c r="BH47" s="2"/>
      <c r="BI47" s="16"/>
      <c r="BK47" s="18"/>
      <c r="BL47" s="9"/>
      <c r="BM47" s="2"/>
      <c r="BN47" s="16"/>
      <c r="BP47" s="18"/>
      <c r="BQ47" s="9"/>
      <c r="BR47" s="2"/>
      <c r="BS47" s="16"/>
      <c r="BT47" s="125"/>
      <c r="BU47" s="18"/>
      <c r="BV47" s="9"/>
      <c r="BW47" s="2"/>
      <c r="BX47" s="16"/>
      <c r="BY47" s="2"/>
      <c r="BZ47" s="18"/>
      <c r="CA47" s="9" t="s">
        <v>286</v>
      </c>
      <c r="CB47" s="2"/>
      <c r="CC47" s="16"/>
      <c r="CE47" s="18"/>
      <c r="CF47" s="9"/>
      <c r="CG47" s="2"/>
      <c r="CH47" s="16"/>
      <c r="CJ47" s="18"/>
      <c r="CK47" s="9"/>
      <c r="CL47" s="2"/>
      <c r="CM47" s="16"/>
      <c r="CN47" s="125"/>
      <c r="CO47" s="18"/>
      <c r="CP47" s="9"/>
      <c r="CQ47" s="2"/>
      <c r="CR47" s="16"/>
      <c r="CT47" s="18"/>
      <c r="CU47" s="9" t="s">
        <v>286</v>
      </c>
      <c r="CV47" s="2"/>
      <c r="CW47" s="16"/>
      <c r="CY47" s="18"/>
      <c r="CZ47" s="9"/>
      <c r="DA47" s="2"/>
      <c r="DB47" s="16"/>
      <c r="DD47" s="18"/>
      <c r="DE47" s="9"/>
      <c r="DF47" s="2"/>
      <c r="DG47" s="16"/>
      <c r="DH47" s="125"/>
      <c r="DI47" s="18"/>
      <c r="DJ47" s="9"/>
      <c r="DK47" s="2"/>
      <c r="DL47" s="16"/>
      <c r="DN47" s="18"/>
      <c r="DO47" s="9" t="s">
        <v>286</v>
      </c>
      <c r="DP47" s="2"/>
      <c r="DQ47" s="16"/>
      <c r="DS47" s="18"/>
      <c r="DT47" s="9"/>
      <c r="DU47" s="2"/>
      <c r="DV47" s="16"/>
      <c r="DX47" s="18"/>
      <c r="DY47" s="9"/>
      <c r="DZ47" s="2"/>
      <c r="EA47" s="16"/>
      <c r="EB47" s="125"/>
      <c r="EC47" s="18"/>
      <c r="ED47" s="9"/>
      <c r="EE47" s="2"/>
      <c r="EF47" s="16"/>
      <c r="EH47" s="18"/>
      <c r="EI47" s="9" t="s">
        <v>286</v>
      </c>
      <c r="EJ47" s="2"/>
      <c r="EK47" s="16"/>
      <c r="EM47" s="18"/>
      <c r="EN47" s="9"/>
      <c r="EO47" s="2"/>
      <c r="EP47" s="16"/>
      <c r="ER47" s="224"/>
      <c r="ES47" s="238"/>
      <c r="ET47" s="5"/>
      <c r="EU47" s="5"/>
      <c r="EV47" s="125"/>
      <c r="EW47" s="18"/>
      <c r="EX47" s="9"/>
      <c r="EY47" s="2"/>
      <c r="EZ47" s="16"/>
      <c r="FB47" s="224"/>
      <c r="FC47" s="238"/>
      <c r="FD47" s="5"/>
      <c r="FE47" s="5"/>
      <c r="FG47" s="18"/>
      <c r="FH47" s="9"/>
      <c r="FI47" s="2"/>
      <c r="FJ47" s="16"/>
      <c r="FL47" s="18"/>
      <c r="FM47" s="9"/>
      <c r="FN47" s="2"/>
      <c r="FO47" s="16"/>
      <c r="FP47" s="125"/>
      <c r="FQ47" s="18"/>
      <c r="FR47" s="9"/>
      <c r="FS47" s="2"/>
      <c r="FT47" s="16"/>
      <c r="FV47" s="18"/>
      <c r="FW47" s="9" t="s">
        <v>286</v>
      </c>
      <c r="FX47" s="2"/>
      <c r="FY47" s="16"/>
      <c r="GA47" s="18"/>
      <c r="GB47" s="9"/>
      <c r="GC47" s="2"/>
      <c r="GD47" s="16"/>
      <c r="GF47" s="18"/>
      <c r="GG47" s="9"/>
      <c r="GH47" s="2"/>
      <c r="GI47" s="16"/>
      <c r="GJ47" s="125"/>
      <c r="GK47" s="18"/>
      <c r="GL47" s="9"/>
      <c r="GM47" s="2"/>
      <c r="GN47" s="16"/>
      <c r="GP47" s="18"/>
      <c r="GQ47" s="9" t="s">
        <v>286</v>
      </c>
      <c r="GR47" s="2"/>
      <c r="GS47" s="16"/>
      <c r="GU47" s="18"/>
      <c r="GV47" s="9"/>
      <c r="GW47" s="2"/>
      <c r="GX47" s="16"/>
      <c r="GZ47" s="18"/>
      <c r="HA47" s="9"/>
      <c r="HB47" s="2"/>
      <c r="HC47" s="16"/>
      <c r="HE47" s="18"/>
      <c r="HF47" s="9"/>
      <c r="HG47" s="2"/>
      <c r="HH47" s="16"/>
      <c r="HI47" s="5"/>
      <c r="HJ47" s="18"/>
      <c r="HK47" s="9"/>
      <c r="HL47" s="2"/>
      <c r="HM47" s="16"/>
      <c r="HO47" s="18"/>
      <c r="HP47" s="9"/>
      <c r="HQ47" s="2"/>
      <c r="HR47" s="16"/>
      <c r="HT47" s="18"/>
      <c r="HU47" s="9"/>
      <c r="HV47" s="2"/>
      <c r="HW47" s="16"/>
      <c r="HY47" s="18"/>
      <c r="HZ47" s="9"/>
      <c r="IA47" s="2"/>
      <c r="IB47" s="16"/>
      <c r="IC47" s="5"/>
      <c r="ID47" s="18"/>
      <c r="IE47" s="9"/>
      <c r="IF47" s="2"/>
      <c r="IG47" s="16"/>
      <c r="II47" s="18"/>
      <c r="IJ47" s="9"/>
      <c r="IK47" s="2"/>
      <c r="IL47" s="16"/>
      <c r="IN47" s="18"/>
      <c r="IO47" s="9"/>
      <c r="IP47" s="2"/>
      <c r="IQ47" s="16"/>
      <c r="IS47" s="18"/>
      <c r="IT47" s="9"/>
      <c r="IU47" s="2"/>
      <c r="IV47" s="16"/>
      <c r="IW47" s="5"/>
      <c r="IX47" s="18"/>
      <c r="IY47" s="9"/>
      <c r="IZ47" s="2"/>
      <c r="JA47" s="16"/>
      <c r="JC47" s="18"/>
      <c r="JD47" s="9"/>
      <c r="JE47" s="2"/>
      <c r="JF47" s="16"/>
      <c r="JH47" s="18"/>
      <c r="JI47" s="9"/>
      <c r="JJ47" s="2"/>
      <c r="JK47" s="16"/>
      <c r="JM47" s="18"/>
      <c r="JN47" s="9"/>
      <c r="JO47" s="2"/>
      <c r="JP47" s="16"/>
      <c r="JQ47" s="5"/>
      <c r="JR47" s="18"/>
      <c r="JS47" s="9"/>
      <c r="JT47" s="2"/>
      <c r="JU47" s="16"/>
      <c r="JW47" s="18"/>
      <c r="JX47" s="9"/>
      <c r="JY47" s="2"/>
      <c r="JZ47" s="16"/>
      <c r="KB47" s="18"/>
      <c r="KC47" s="9"/>
      <c r="KD47" s="2"/>
      <c r="KE47" s="16"/>
      <c r="KG47" s="18"/>
      <c r="KH47" s="9"/>
      <c r="KI47" s="2"/>
      <c r="KJ47" s="16"/>
      <c r="KK47" s="5"/>
      <c r="KL47" s="18"/>
      <c r="KM47" s="9"/>
      <c r="KN47" s="2"/>
      <c r="KO47" s="16"/>
      <c r="KQ47" s="18"/>
      <c r="KR47" s="9"/>
      <c r="KS47" s="2"/>
      <c r="KT47" s="16"/>
      <c r="KV47" s="18"/>
      <c r="KW47" s="9"/>
      <c r="KX47" s="2"/>
      <c r="KY47" s="16"/>
      <c r="LA47" s="18"/>
      <c r="LB47" s="9"/>
      <c r="LC47" s="2"/>
      <c r="LD47" s="16"/>
      <c r="LE47" s="5"/>
      <c r="LF47" s="18"/>
      <c r="LG47" s="9"/>
      <c r="LH47" s="2"/>
      <c r="LI47" s="16"/>
      <c r="LK47" s="18"/>
      <c r="LL47" s="9"/>
      <c r="LM47" s="2"/>
      <c r="LN47" s="16"/>
      <c r="LP47" s="18"/>
      <c r="LQ47" s="9"/>
      <c r="LR47" s="2"/>
      <c r="LS47" s="16"/>
      <c r="LU47" s="18"/>
      <c r="LV47" s="9"/>
      <c r="LW47" s="2"/>
      <c r="LX47" s="16"/>
      <c r="LY47" s="5"/>
      <c r="LZ47" s="18"/>
      <c r="MA47" s="9"/>
      <c r="MB47" s="2"/>
      <c r="MC47" s="16"/>
    </row>
    <row r="48" spans="2:341" ht="16" thickBot="1" x14ac:dyDescent="0.25">
      <c r="C48" s="239" t="s">
        <v>4</v>
      </c>
      <c r="D48" s="20"/>
      <c r="E48" s="24">
        <f>SUM(E14:E46)*1000</f>
        <v>1955.8</v>
      </c>
      <c r="F48" s="21" t="s">
        <v>0</v>
      </c>
      <c r="H48" s="239" t="s">
        <v>4</v>
      </c>
      <c r="I48" s="20"/>
      <c r="J48" s="24">
        <f>SUM(J14:J46)*1000</f>
        <v>14511.2</v>
      </c>
      <c r="K48" s="21" t="s">
        <v>0</v>
      </c>
      <c r="M48" s="239" t="s">
        <v>4</v>
      </c>
      <c r="N48" s="20"/>
      <c r="O48" s="24">
        <f>SUM(O14:O46)*1000</f>
        <v>1015.92</v>
      </c>
      <c r="P48" s="21" t="s">
        <v>0</v>
      </c>
      <c r="Q48" s="5"/>
      <c r="R48" s="239" t="s">
        <v>4</v>
      </c>
      <c r="S48" s="20"/>
      <c r="T48" s="24">
        <f>SUM(T14:T46)*1000</f>
        <v>2900.0999999999995</v>
      </c>
      <c r="U48" s="21" t="s">
        <v>0</v>
      </c>
      <c r="V48" s="5"/>
      <c r="W48" s="239" t="s">
        <v>4</v>
      </c>
      <c r="X48" s="20"/>
      <c r="Y48" s="24">
        <f>SUM(Y14:Y46)*1000</f>
        <v>1952.6017801940036</v>
      </c>
      <c r="Z48" s="21" t="s">
        <v>0</v>
      </c>
      <c r="AB48" s="239" t="s">
        <v>4</v>
      </c>
      <c r="AC48" s="20"/>
      <c r="AD48" s="24">
        <f>SUM(AD14:AD46)*1000</f>
        <v>14509.500635783572</v>
      </c>
      <c r="AE48" s="21" t="s">
        <v>0</v>
      </c>
      <c r="AG48" s="239" t="s">
        <v>4</v>
      </c>
      <c r="AH48" s="20"/>
      <c r="AI48" s="24">
        <f>SUM(AI14:AI46)*1000</f>
        <v>1012.2022888208619</v>
      </c>
      <c r="AJ48" s="21" t="s">
        <v>0</v>
      </c>
      <c r="AK48" s="440"/>
      <c r="AL48" s="239" t="s">
        <v>4</v>
      </c>
      <c r="AM48" s="20"/>
      <c r="AN48" s="24">
        <f>SUM(AN14:AN46)*1000</f>
        <v>1063.5006357835728</v>
      </c>
      <c r="AO48" s="21" t="s">
        <v>0</v>
      </c>
      <c r="AQ48" s="239" t="s">
        <v>4</v>
      </c>
      <c r="AR48" s="20"/>
      <c r="AS48" s="24">
        <f>SUM(AS14:AS46)*1000</f>
        <v>1943.0147858118894</v>
      </c>
      <c r="AT48" s="21" t="s">
        <v>0</v>
      </c>
      <c r="AV48" s="239" t="s">
        <v>4</v>
      </c>
      <c r="AW48" s="20"/>
      <c r="AX48" s="24">
        <f>SUM(AX14:AX46)*1000</f>
        <v>14506.076709218531</v>
      </c>
      <c r="AY48" s="21" t="s">
        <v>0</v>
      </c>
      <c r="BA48" s="239" t="s">
        <v>4</v>
      </c>
      <c r="BB48" s="20"/>
      <c r="BC48" s="24">
        <f>SUM(BC14:BC46)*1000</f>
        <v>999.87615318671487</v>
      </c>
      <c r="BD48" s="21" t="s">
        <v>0</v>
      </c>
      <c r="BE48" s="5"/>
      <c r="BF48" s="239" t="s">
        <v>4</v>
      </c>
      <c r="BG48" s="20"/>
      <c r="BH48" s="24">
        <f>SUM(BH14:BH46)*1000</f>
        <v>2816.0267914646934</v>
      </c>
      <c r="BI48" s="21" t="s">
        <v>0</v>
      </c>
      <c r="BK48" s="239" t="s">
        <v>4</v>
      </c>
      <c r="BL48" s="20"/>
      <c r="BM48" s="24">
        <f>SUM(BM14:BM46)*1000</f>
        <v>1949.5235603880074</v>
      </c>
      <c r="BN48" s="21" t="s">
        <v>0</v>
      </c>
      <c r="BP48" s="239" t="s">
        <v>4</v>
      </c>
      <c r="BQ48" s="20"/>
      <c r="BR48" s="24">
        <f>SUM(BR14:BR46)*1000</f>
        <v>14508.401271567145</v>
      </c>
      <c r="BS48" s="21" t="s">
        <v>0</v>
      </c>
      <c r="BU48" s="239" t="s">
        <v>4</v>
      </c>
      <c r="BV48" s="20"/>
      <c r="BW48" s="24">
        <f>SUM(BW14:BW46)*1000</f>
        <v>1008.2445776417239</v>
      </c>
      <c r="BX48" s="21" t="s">
        <v>0</v>
      </c>
      <c r="BY48" s="440"/>
      <c r="BZ48" s="239" t="s">
        <v>4</v>
      </c>
      <c r="CA48" s="20"/>
      <c r="CB48" s="24">
        <f>SUM(CB14:CB46)*1000</f>
        <v>1062.4012715671456</v>
      </c>
      <c r="CC48" s="21" t="s">
        <v>0</v>
      </c>
      <c r="CE48" s="239" t="s">
        <v>4</v>
      </c>
      <c r="CF48" s="20"/>
      <c r="CG48" s="24">
        <f>SUM(CG14:CG46)*1000</f>
        <v>1922.1737561720911</v>
      </c>
      <c r="CH48" s="21" t="s">
        <v>0</v>
      </c>
      <c r="CJ48" s="239" t="s">
        <v>4</v>
      </c>
      <c r="CK48" s="20"/>
      <c r="CL48" s="24">
        <f>SUM(CL14:CL46)*1000</f>
        <v>14496.939004937673</v>
      </c>
      <c r="CM48" s="21" t="s">
        <v>0</v>
      </c>
      <c r="CO48" s="239" t="s">
        <v>4</v>
      </c>
      <c r="CP48" s="20"/>
      <c r="CQ48" s="24">
        <f>SUM(CQ14:CQ46)*1000</f>
        <v>972.03105962846223</v>
      </c>
      <c r="CR48" s="21" t="s">
        <v>0</v>
      </c>
      <c r="CT48" s="239" t="s">
        <v>4</v>
      </c>
      <c r="CU48" s="20"/>
      <c r="CV48" s="24">
        <f>SUM(CV14:CV46)*1000</f>
        <v>1053.0817014813019</v>
      </c>
      <c r="CW48" s="21" t="s">
        <v>0</v>
      </c>
      <c r="CY48" s="239" t="s">
        <v>4</v>
      </c>
      <c r="CZ48" s="20"/>
      <c r="DA48" s="24">
        <f>SUM(DA14:DA46)*1000</f>
        <v>2271.2126632606132</v>
      </c>
      <c r="DB48" s="21" t="s">
        <v>0</v>
      </c>
      <c r="DD48" s="239" t="s">
        <v>4</v>
      </c>
      <c r="DE48" s="20"/>
      <c r="DF48" s="24">
        <f>SUM(DF14:DF46)*1000</f>
        <v>14942.694807245809</v>
      </c>
      <c r="DG48" s="21" t="s">
        <v>0</v>
      </c>
      <c r="DI48" s="239" t="s">
        <v>4</v>
      </c>
      <c r="DJ48" s="20"/>
      <c r="DK48" s="24">
        <f>SUM(DK14:DK46)*1000</f>
        <v>1227.4715912680163</v>
      </c>
      <c r="DL48" s="21" t="s">
        <v>0</v>
      </c>
      <c r="DN48" s="239" t="s">
        <v>4</v>
      </c>
      <c r="DO48" s="20"/>
      <c r="DP48" s="24">
        <f>SUM(DP14:DP46)*1000</f>
        <v>1179.8705359962987</v>
      </c>
      <c r="DQ48" s="21" t="s">
        <v>0</v>
      </c>
      <c r="DS48" s="239" t="s">
        <v>4</v>
      </c>
      <c r="DT48" s="20"/>
      <c r="DU48" s="24">
        <f>SUM(DU14:DU46)*1000</f>
        <v>1939.8484822648616</v>
      </c>
      <c r="DV48" s="21" t="s">
        <v>0</v>
      </c>
      <c r="DX48" s="239" t="s">
        <v>4</v>
      </c>
      <c r="DY48" s="20"/>
      <c r="DZ48" s="24">
        <f>SUM(DZ14:DZ46)*1000</f>
        <v>14504.945886523165</v>
      </c>
      <c r="EA48" s="21" t="s">
        <v>0</v>
      </c>
      <c r="EC48" s="239" t="s">
        <v>4</v>
      </c>
      <c r="ED48" s="20"/>
      <c r="EE48" s="24">
        <f>SUM(EE14:EE46)*1000</f>
        <v>995.80519148339351</v>
      </c>
      <c r="EF48" s="21" t="s">
        <v>0</v>
      </c>
      <c r="EH48" s="239" t="s">
        <v>4</v>
      </c>
      <c r="EI48" s="20"/>
      <c r="EJ48" s="24">
        <f>SUM(EJ14:EJ46)*1000</f>
        <v>1058.945886523165</v>
      </c>
      <c r="EK48" s="21" t="s">
        <v>0</v>
      </c>
      <c r="EM48" s="239" t="s">
        <v>4</v>
      </c>
      <c r="EN48" s="20"/>
      <c r="EO48" s="24">
        <f>SUM(EO14:EO46)*1000</f>
        <v>840.6</v>
      </c>
      <c r="EP48" s="21" t="s">
        <v>0</v>
      </c>
      <c r="ER48" s="457"/>
      <c r="ES48" s="238"/>
      <c r="ET48" s="167"/>
      <c r="EU48" s="5"/>
      <c r="EW48" s="239" t="s">
        <v>4</v>
      </c>
      <c r="EX48" s="20"/>
      <c r="EY48" s="24">
        <f>SUM(EY14:EY46)*1000</f>
        <v>897.51469593374827</v>
      </c>
      <c r="EZ48" s="21" t="s">
        <v>0</v>
      </c>
      <c r="FB48" s="457"/>
      <c r="FC48" s="238"/>
      <c r="FD48" s="167"/>
      <c r="FE48" s="5"/>
      <c r="FG48" s="239" t="s">
        <v>4</v>
      </c>
      <c r="FH48" s="20"/>
      <c r="FI48" s="24">
        <f>SUM(FI14:FI46)*1000</f>
        <v>1911.1994489598294</v>
      </c>
      <c r="FJ48" s="21" t="s">
        <v>0</v>
      </c>
      <c r="FL48" s="239" t="s">
        <v>4</v>
      </c>
      <c r="FM48" s="20"/>
      <c r="FN48" s="24">
        <f>SUM(FN14:FN46)*1000</f>
        <v>14488.159559167863</v>
      </c>
      <c r="FO48" s="21" t="s">
        <v>0</v>
      </c>
      <c r="FQ48" s="239" t="s">
        <v>4</v>
      </c>
      <c r="FR48" s="20"/>
      <c r="FS48" s="24">
        <f>SUM(FS14:FS46)*1000</f>
        <v>954.91114037733382</v>
      </c>
      <c r="FT48" s="21" t="s">
        <v>0</v>
      </c>
      <c r="FV48" s="239" t="s">
        <v>4</v>
      </c>
      <c r="FW48" s="20"/>
      <c r="FX48" s="24">
        <f>SUM(FX14:FX46)*1000</f>
        <v>1050.4478677503591</v>
      </c>
      <c r="FY48" s="21" t="s">
        <v>0</v>
      </c>
      <c r="GA48" s="239" t="s">
        <v>4</v>
      </c>
      <c r="GB48" s="20"/>
      <c r="GC48" s="24">
        <f>SUM(GC14:GC46)*1000</f>
        <v>1873.2469389565065</v>
      </c>
      <c r="GD48" s="21" t="s">
        <v>0</v>
      </c>
      <c r="GF48" s="239" t="s">
        <v>4</v>
      </c>
      <c r="GG48" s="20"/>
      <c r="GH48" s="24">
        <f>SUM(GH14:GH46)*1000</f>
        <v>14392.482994202814</v>
      </c>
      <c r="GI48" s="21" t="s">
        <v>0</v>
      </c>
      <c r="GK48" s="239" t="s">
        <v>4</v>
      </c>
      <c r="GL48" s="20"/>
      <c r="GM48" s="24">
        <f>SUM(GM14:GM46)*1000</f>
        <v>876.99183721735051</v>
      </c>
      <c r="GN48" s="21" t="s">
        <v>0</v>
      </c>
      <c r="GP48" s="239" t="s">
        <v>4</v>
      </c>
      <c r="GQ48" s="20"/>
      <c r="GR48" s="24">
        <f>SUM(GR14:GR46)*1000</f>
        <v>1041.4993197681124</v>
      </c>
      <c r="GS48" s="21" t="s">
        <v>0</v>
      </c>
      <c r="GU48" s="239" t="s">
        <v>4</v>
      </c>
      <c r="GV48" s="20"/>
      <c r="GW48" s="24">
        <f>SUM(GW14:GW46)*1000</f>
        <v>1892.7941074929251</v>
      </c>
      <c r="GX48" s="21" t="s">
        <v>0</v>
      </c>
      <c r="GZ48" s="239" t="s">
        <v>4</v>
      </c>
      <c r="HA48" s="20"/>
      <c r="HB48" s="24">
        <f>SUM(HB14:HB46)*1000</f>
        <v>14465.080195441682</v>
      </c>
      <c r="HC48" s="21" t="s">
        <v>0</v>
      </c>
      <c r="HE48" s="239" t="s">
        <v>4</v>
      </c>
      <c r="HF48" s="20"/>
      <c r="HG48" s="24">
        <f>SUM(HG14:HG46)*1000</f>
        <v>923.33420521376604</v>
      </c>
      <c r="HH48" s="21" t="s">
        <v>0</v>
      </c>
      <c r="HI48" s="5"/>
      <c r="HJ48" s="239" t="s">
        <v>4</v>
      </c>
      <c r="HK48" s="20"/>
      <c r="HL48" s="24">
        <f>SUM(HL14:HL46)*1000</f>
        <v>2463.0828110829802</v>
      </c>
      <c r="HM48" s="21" t="s">
        <v>0</v>
      </c>
      <c r="HO48" s="239" t="s">
        <v>4</v>
      </c>
      <c r="HP48" s="20"/>
      <c r="HQ48" s="24">
        <f>SUM(HQ14:HQ46)*1000</f>
        <v>1978.5597544773243</v>
      </c>
      <c r="HR48" s="21" t="s">
        <v>0</v>
      </c>
      <c r="HT48" s="239" t="s">
        <v>4</v>
      </c>
      <c r="HU48" s="20"/>
      <c r="HV48" s="24">
        <f>SUM(HV14:HV46)*1000</f>
        <v>14526.37316965155</v>
      </c>
      <c r="HW48" s="21" t="s">
        <v>0</v>
      </c>
      <c r="HY48" s="239" t="s">
        <v>4</v>
      </c>
      <c r="HZ48" s="20"/>
      <c r="IA48" s="24">
        <f>SUM(IA14:IA46)*1000</f>
        <v>1040.1970714424792</v>
      </c>
      <c r="IB48" s="21" t="s">
        <v>0</v>
      </c>
      <c r="IC48" s="5"/>
      <c r="ID48" s="239" t="s">
        <v>4</v>
      </c>
      <c r="IE48" s="20"/>
      <c r="IF48" s="24">
        <f>SUM(IF14:IF46)*1000</f>
        <v>3040.4518192768337</v>
      </c>
      <c r="IG48" s="21" t="s">
        <v>0</v>
      </c>
      <c r="II48" s="239" t="s">
        <v>4</v>
      </c>
      <c r="IJ48" s="20"/>
      <c r="IK48" s="24">
        <f>SUM(IK14:IK46)*1000</f>
        <v>1959.4098328981117</v>
      </c>
      <c r="IL48" s="21" t="s">
        <v>0</v>
      </c>
      <c r="IN48" s="239" t="s">
        <v>4</v>
      </c>
      <c r="IO48" s="20"/>
      <c r="IP48" s="24">
        <f>SUM(IP14:IP46)*1000</f>
        <v>14513.606555265407</v>
      </c>
      <c r="IQ48" s="21" t="s">
        <v>0</v>
      </c>
      <c r="IS48" s="239" t="s">
        <v>4</v>
      </c>
      <c r="IT48" s="20"/>
      <c r="IU48" s="24">
        <f>SUM(IU14:IU46)*1000</f>
        <v>1019.7704884246525</v>
      </c>
      <c r="IV48" s="21" t="s">
        <v>0</v>
      </c>
      <c r="IW48" s="5"/>
      <c r="IX48" s="239" t="s">
        <v>4</v>
      </c>
      <c r="IY48" s="20"/>
      <c r="IZ48" s="24">
        <f>SUM(IZ14:IZ46)*1000</f>
        <v>2922.3606362050223</v>
      </c>
      <c r="JA48" s="21" t="s">
        <v>0</v>
      </c>
      <c r="JC48" s="239" t="s">
        <v>4</v>
      </c>
      <c r="JD48" s="20"/>
      <c r="JE48" s="24">
        <f>SUM(JE14:JE46)*1000</f>
        <v>1894.9144264061879</v>
      </c>
      <c r="JF48" s="21" t="s">
        <v>0</v>
      </c>
      <c r="JH48" s="239" t="s">
        <v>4</v>
      </c>
      <c r="JI48" s="20"/>
      <c r="JJ48" s="24">
        <f>SUM(JJ14:JJ46)*1000</f>
        <v>14468.935320738525</v>
      </c>
      <c r="JK48" s="21" t="s">
        <v>0</v>
      </c>
      <c r="JM48" s="239" t="s">
        <v>4</v>
      </c>
      <c r="JN48" s="20"/>
      <c r="JO48" s="24">
        <f>SUM(JO14:JO46)*1000</f>
        <v>927.38208677544992</v>
      </c>
      <c r="JP48" s="21" t="s">
        <v>0</v>
      </c>
      <c r="JQ48" s="5"/>
      <c r="JR48" s="239" t="s">
        <v>4</v>
      </c>
      <c r="JS48" s="20"/>
      <c r="JT48" s="24">
        <f>SUM(JT14:JT46)*1000</f>
        <v>2479.0815810648733</v>
      </c>
      <c r="JU48" s="21" t="s">
        <v>0</v>
      </c>
      <c r="JW48" s="239" t="s">
        <v>4</v>
      </c>
      <c r="JX48" s="20"/>
      <c r="JY48" s="24">
        <f>SUM(JY14:JY46)*1000</f>
        <v>1911.1973969221106</v>
      </c>
      <c r="JZ48" s="21" t="s">
        <v>0</v>
      </c>
      <c r="KB48" s="239" t="s">
        <v>4</v>
      </c>
      <c r="KC48" s="20"/>
      <c r="KD48" s="24">
        <f>SUM(KD14:KD46)*1000</f>
        <v>14488.157917537688</v>
      </c>
      <c r="KE48" s="21" t="s">
        <v>0</v>
      </c>
      <c r="KG48" s="239" t="s">
        <v>4</v>
      </c>
      <c r="KH48" s="20"/>
      <c r="KI48" s="24">
        <f>SUM(KI14:KI46)*1000</f>
        <v>954.90793919849239</v>
      </c>
      <c r="KJ48" s="21" t="s">
        <v>0</v>
      </c>
      <c r="KK48" s="5"/>
      <c r="KL48" s="239" t="s">
        <v>4</v>
      </c>
      <c r="KM48" s="20"/>
      <c r="KN48" s="24">
        <f>SUM(KN14:KN46)*1000</f>
        <v>2597.605466085427</v>
      </c>
      <c r="KO48" s="21" t="s">
        <v>0</v>
      </c>
      <c r="KQ48" s="239" t="s">
        <v>4</v>
      </c>
      <c r="KR48" s="20"/>
      <c r="KS48" s="24">
        <f>SUM(KS14:KS46)*1000</f>
        <v>2090.56</v>
      </c>
      <c r="KT48" s="21" t="s">
        <v>0</v>
      </c>
      <c r="KV48" s="239" t="s">
        <v>4</v>
      </c>
      <c r="KW48" s="20"/>
      <c r="KX48" s="24">
        <f>SUM(KX14:KX46)*1000</f>
        <v>14616</v>
      </c>
      <c r="KY48" s="21" t="s">
        <v>0</v>
      </c>
      <c r="LA48" s="239" t="s">
        <v>4</v>
      </c>
      <c r="LB48" s="20"/>
      <c r="LC48" s="24">
        <f>SUM(LC14:LC46)*1000</f>
        <v>1133.0399999999997</v>
      </c>
      <c r="LD48" s="21" t="s">
        <v>0</v>
      </c>
      <c r="LE48" s="5"/>
      <c r="LF48" s="239" t="s">
        <v>4</v>
      </c>
      <c r="LG48" s="20"/>
      <c r="LH48" s="24">
        <f>SUM(LH14:LH46)*1000</f>
        <v>3654.48</v>
      </c>
      <c r="LI48" s="21" t="s">
        <v>0</v>
      </c>
      <c r="LK48" s="239" t="s">
        <v>4</v>
      </c>
      <c r="LL48" s="20"/>
      <c r="LM48" s="24" t="e">
        <f>SUM(LM14:LM46)*1000</f>
        <v>#REF!</v>
      </c>
      <c r="LN48" s="21" t="s">
        <v>0</v>
      </c>
      <c r="LP48" s="239" t="s">
        <v>4</v>
      </c>
      <c r="LQ48" s="20"/>
      <c r="LR48" s="24" t="e">
        <f>SUM(LR14:LR46)*1000</f>
        <v>#REF!</v>
      </c>
      <c r="LS48" s="21" t="s">
        <v>0</v>
      </c>
      <c r="LU48" s="239" t="s">
        <v>4</v>
      </c>
      <c r="LV48" s="20"/>
      <c r="LW48" s="24" t="e">
        <f>SUM(LW14:LW46)*1000</f>
        <v>#REF!</v>
      </c>
      <c r="LX48" s="21" t="s">
        <v>0</v>
      </c>
      <c r="LY48" s="5"/>
      <c r="LZ48" s="239" t="s">
        <v>4</v>
      </c>
      <c r="MA48" s="20"/>
      <c r="MB48" s="24" t="e">
        <f>SUM(MB14:MB46)*1000</f>
        <v>#REF!</v>
      </c>
      <c r="MC48" s="21" t="s">
        <v>0</v>
      </c>
    </row>
    <row r="49" spans="3:241" x14ac:dyDescent="0.2">
      <c r="Q49" s="5"/>
      <c r="R49" s="5"/>
      <c r="S49" s="5"/>
      <c r="T49" s="5"/>
      <c r="U49" s="5"/>
      <c r="V49" s="5"/>
      <c r="ER49" s="5"/>
      <c r="ES49" s="5"/>
      <c r="ET49" s="5"/>
      <c r="EU49" s="5"/>
      <c r="FB49" s="5"/>
      <c r="FC49" s="5"/>
      <c r="FD49" s="5"/>
      <c r="FE49" s="5"/>
      <c r="HI49" s="5"/>
      <c r="HJ49" s="5"/>
      <c r="HK49" s="5"/>
      <c r="HL49" s="5"/>
      <c r="HM49" s="5"/>
      <c r="IC49" s="5"/>
      <c r="ID49" s="5"/>
      <c r="IE49" s="5"/>
      <c r="IF49" s="5"/>
      <c r="IG49" s="5"/>
    </row>
    <row r="50" spans="3:241" x14ac:dyDescent="0.2">
      <c r="C50" s="5"/>
      <c r="D50" s="5"/>
      <c r="E50" s="5"/>
      <c r="F50" s="5"/>
      <c r="G50" s="5"/>
      <c r="H50" s="5"/>
      <c r="I50" s="224"/>
      <c r="J50" s="23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ER50" s="5"/>
      <c r="ES50" s="5"/>
      <c r="ET50" s="5"/>
      <c r="EU50" s="5"/>
      <c r="FB50" s="5"/>
      <c r="FC50" s="5"/>
      <c r="FD50" s="5"/>
      <c r="FE50" s="5"/>
      <c r="GU50" s="5"/>
      <c r="GV50" s="5"/>
      <c r="GW50" s="5"/>
      <c r="GX50" s="5"/>
      <c r="GY50" s="5"/>
      <c r="GZ50" s="5"/>
      <c r="HA50" s="224"/>
      <c r="HB50" s="238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O50" s="5"/>
      <c r="HP50" s="5"/>
      <c r="HQ50" s="5"/>
      <c r="HR50" s="5"/>
      <c r="HS50" s="5"/>
      <c r="HT50" s="5"/>
      <c r="HU50" s="224"/>
      <c r="HV50" s="238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3:241" x14ac:dyDescent="0.2">
      <c r="C51" s="5"/>
      <c r="D51" s="5"/>
      <c r="E51" s="5"/>
      <c r="F51" s="5"/>
      <c r="G51" s="5"/>
      <c r="H51" s="5"/>
      <c r="I51" s="224"/>
      <c r="J51" s="23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ER51" s="5"/>
      <c r="ES51" s="5"/>
      <c r="ET51" s="5"/>
      <c r="EU51" s="5"/>
      <c r="FB51" s="5"/>
      <c r="FC51" s="5"/>
      <c r="FD51" s="5"/>
      <c r="FE51" s="5"/>
      <c r="GU51" s="5"/>
      <c r="GV51" s="5"/>
      <c r="GW51" s="5"/>
      <c r="GX51" s="5"/>
      <c r="GY51" s="5"/>
      <c r="GZ51" s="5"/>
      <c r="HA51" s="224"/>
      <c r="HB51" s="238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O51" s="5"/>
      <c r="HP51" s="5"/>
      <c r="HQ51" s="5"/>
      <c r="HR51" s="5"/>
      <c r="HS51" s="5"/>
      <c r="HT51" s="5"/>
      <c r="HU51" s="224"/>
      <c r="HV51" s="238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3:241" x14ac:dyDescent="0.2">
      <c r="I52" s="8"/>
      <c r="J52" s="9"/>
      <c r="ER52" s="5"/>
      <c r="ES52" s="5"/>
      <c r="ET52" s="5"/>
      <c r="EU52" s="5"/>
      <c r="HA52" s="8"/>
      <c r="HB52" s="9"/>
      <c r="HU52" s="8"/>
      <c r="HV52" s="9"/>
    </row>
    <row r="53" spans="3:241" x14ac:dyDescent="0.2">
      <c r="I53" s="8"/>
      <c r="J53" s="9"/>
      <c r="ER53" s="5"/>
      <c r="ES53" s="5"/>
      <c r="ET53" s="5"/>
      <c r="EU53" s="5"/>
      <c r="HA53" s="8"/>
      <c r="HB53" s="9"/>
    </row>
    <row r="54" spans="3:241" x14ac:dyDescent="0.2">
      <c r="I54" s="8"/>
      <c r="J54" s="9"/>
      <c r="ER54" s="5"/>
      <c r="ES54" s="5"/>
      <c r="ET54" s="5"/>
      <c r="EU54" s="5"/>
    </row>
    <row r="55" spans="3:241" x14ac:dyDescent="0.2">
      <c r="I55" s="8"/>
      <c r="J55" s="9"/>
      <c r="ER55" s="5"/>
      <c r="ES55" s="5"/>
      <c r="ET55" s="5"/>
      <c r="EU55" s="5"/>
    </row>
    <row r="56" spans="3:241" x14ac:dyDescent="0.2">
      <c r="I56" s="8"/>
      <c r="J56" s="9"/>
      <c r="ER56" s="5"/>
      <c r="ES56" s="5"/>
      <c r="ET56" s="5"/>
      <c r="EU56" s="5"/>
    </row>
    <row r="57" spans="3:241" x14ac:dyDescent="0.2">
      <c r="I57" s="8"/>
      <c r="J57" s="9"/>
      <c r="ER57" s="5"/>
      <c r="ES57" s="5"/>
      <c r="ET57" s="5"/>
      <c r="EU57" s="5"/>
    </row>
    <row r="58" spans="3:241" x14ac:dyDescent="0.2">
      <c r="I58" s="8"/>
      <c r="J58" s="9"/>
    </row>
    <row r="59" spans="3:241" x14ac:dyDescent="0.2">
      <c r="I59" s="8"/>
      <c r="J59" s="9"/>
    </row>
    <row r="60" spans="3:241" x14ac:dyDescent="0.2">
      <c r="I60" s="8"/>
      <c r="J60" s="9"/>
    </row>
    <row r="61" spans="3:241" x14ac:dyDescent="0.2">
      <c r="I61" s="8"/>
      <c r="J61" s="9"/>
    </row>
    <row r="62" spans="3:241" x14ac:dyDescent="0.2">
      <c r="I62" s="8"/>
      <c r="J62" s="9"/>
    </row>
    <row r="63" spans="3:241" x14ac:dyDescent="0.2">
      <c r="I63" s="8"/>
      <c r="J63" s="9"/>
    </row>
    <row r="64" spans="3:241" x14ac:dyDescent="0.2">
      <c r="I64" s="2"/>
      <c r="J64" s="2"/>
      <c r="K64" s="2"/>
      <c r="L64" s="2"/>
      <c r="M64" s="2"/>
    </row>
    <row r="65" spans="9:24" x14ac:dyDescent="0.2">
      <c r="I65" s="44"/>
      <c r="J65" s="5"/>
      <c r="K65" s="5"/>
      <c r="L65" s="5"/>
      <c r="M65" s="2"/>
    </row>
    <row r="66" spans="9:24" x14ac:dyDescent="0.2">
      <c r="I66" s="45"/>
      <c r="J66" s="45"/>
      <c r="K66" s="46"/>
      <c r="L66" s="46"/>
      <c r="M66" s="2"/>
      <c r="X66" s="7"/>
    </row>
    <row r="67" spans="9:24" x14ac:dyDescent="0.2">
      <c r="I67" s="45"/>
      <c r="J67" s="45"/>
      <c r="K67" s="46"/>
      <c r="L67" s="46"/>
      <c r="M67" s="2"/>
      <c r="X67" s="7"/>
    </row>
    <row r="68" spans="9:24" ht="16" x14ac:dyDescent="0.2">
      <c r="I68" s="45"/>
      <c r="J68" s="45"/>
      <c r="K68" s="46"/>
      <c r="L68" s="47"/>
      <c r="M68" s="2"/>
      <c r="X68" s="7"/>
    </row>
    <row r="69" spans="9:24" ht="16" x14ac:dyDescent="0.2">
      <c r="I69" s="45"/>
      <c r="J69" s="45"/>
      <c r="K69" s="48"/>
      <c r="L69" s="47"/>
      <c r="M69" s="2"/>
      <c r="X69" s="7"/>
    </row>
    <row r="70" spans="9:24" ht="16" x14ac:dyDescent="0.2">
      <c r="I70" s="45"/>
      <c r="J70" s="45"/>
      <c r="K70" s="48"/>
      <c r="L70" s="47"/>
      <c r="M70" s="2"/>
      <c r="X70" s="7"/>
    </row>
    <row r="71" spans="9:24" ht="16" x14ac:dyDescent="0.2">
      <c r="I71" s="45"/>
      <c r="J71" s="45"/>
      <c r="K71" s="48"/>
      <c r="L71" s="47"/>
      <c r="M71" s="2"/>
      <c r="X71" s="7"/>
    </row>
    <row r="72" spans="9:24" ht="16" x14ac:dyDescent="0.2">
      <c r="I72" s="45"/>
      <c r="J72" s="49"/>
      <c r="K72" s="48"/>
      <c r="L72" s="47"/>
      <c r="M72" s="2"/>
      <c r="X72" s="7"/>
    </row>
    <row r="73" spans="9:24" ht="16" x14ac:dyDescent="0.2">
      <c r="I73" s="45"/>
      <c r="J73" s="50"/>
      <c r="K73" s="48"/>
      <c r="L73" s="47"/>
      <c r="M73" s="2"/>
      <c r="X73" s="7"/>
    </row>
    <row r="74" spans="9:24" ht="16" x14ac:dyDescent="0.2">
      <c r="I74" s="45"/>
      <c r="J74" s="50"/>
      <c r="K74" s="48"/>
      <c r="L74" s="47"/>
      <c r="M74" s="2"/>
      <c r="X74" s="7"/>
    </row>
    <row r="75" spans="9:24" ht="16" x14ac:dyDescent="0.2">
      <c r="I75" s="45"/>
      <c r="J75" s="50"/>
      <c r="K75" s="48"/>
      <c r="L75" s="47"/>
      <c r="M75" s="2"/>
      <c r="X75" s="7"/>
    </row>
    <row r="76" spans="9:24" ht="16" x14ac:dyDescent="0.2">
      <c r="I76" s="45"/>
      <c r="J76" s="50"/>
      <c r="K76" s="48"/>
      <c r="L76" s="47"/>
      <c r="M76" s="2"/>
      <c r="X76" s="7"/>
    </row>
    <row r="77" spans="9:24" ht="16" x14ac:dyDescent="0.2">
      <c r="I77" s="45"/>
      <c r="J77" s="50"/>
      <c r="K77" s="48"/>
      <c r="L77" s="47"/>
      <c r="M77" s="2"/>
      <c r="X77" s="7"/>
    </row>
    <row r="78" spans="9:24" ht="16" x14ac:dyDescent="0.2">
      <c r="I78" s="45"/>
      <c r="J78" s="50"/>
      <c r="K78" s="48"/>
      <c r="L78" s="47"/>
      <c r="M78" s="2"/>
      <c r="X78" s="7"/>
    </row>
    <row r="79" spans="9:24" ht="16" x14ac:dyDescent="0.2">
      <c r="I79" s="45"/>
      <c r="J79" s="50"/>
      <c r="K79" s="48"/>
      <c r="L79" s="47"/>
      <c r="M79" s="2"/>
      <c r="X79" s="7"/>
    </row>
    <row r="80" spans="9:24" ht="16" x14ac:dyDescent="0.2">
      <c r="I80" s="45"/>
      <c r="J80" s="50"/>
      <c r="K80" s="48"/>
      <c r="L80" s="47"/>
      <c r="M80" s="2"/>
      <c r="X80" s="7"/>
    </row>
    <row r="81" spans="9:24" ht="16" x14ac:dyDescent="0.2">
      <c r="I81" s="51"/>
      <c r="J81" s="50"/>
      <c r="K81" s="48"/>
      <c r="L81" s="47"/>
      <c r="M81" s="2"/>
      <c r="X81" s="7"/>
    </row>
    <row r="82" spans="9:24" ht="16" x14ac:dyDescent="0.2">
      <c r="I82" s="51"/>
      <c r="J82" s="50"/>
      <c r="K82" s="48"/>
      <c r="L82" s="47"/>
      <c r="M82" s="2"/>
    </row>
    <row r="83" spans="9:24" ht="16" x14ac:dyDescent="0.2">
      <c r="I83" s="51"/>
      <c r="J83" s="50"/>
      <c r="K83" s="48"/>
      <c r="L83" s="47"/>
      <c r="M83" s="2"/>
    </row>
    <row r="84" spans="9:24" ht="16" x14ac:dyDescent="0.2">
      <c r="I84" s="51"/>
      <c r="J84" s="50"/>
      <c r="K84" s="44"/>
      <c r="L84" s="5"/>
      <c r="M84" s="2"/>
    </row>
    <row r="85" spans="9:24" x14ac:dyDescent="0.2">
      <c r="I85" s="2"/>
      <c r="J85" s="2"/>
      <c r="K85" s="2"/>
      <c r="L85" s="2"/>
      <c r="M85" s="2"/>
    </row>
    <row r="86" spans="9:24" x14ac:dyDescent="0.2">
      <c r="I86" s="2"/>
      <c r="J86" s="2"/>
      <c r="K86" s="2"/>
      <c r="L86" s="2"/>
      <c r="M86" s="2"/>
    </row>
    <row r="95" spans="9:24" x14ac:dyDescent="0.2">
      <c r="M95" s="25"/>
      <c r="Q95" s="25"/>
      <c r="U95" s="25"/>
    </row>
    <row r="96" spans="9:24" x14ac:dyDescent="0.2">
      <c r="M96" s="25"/>
      <c r="Q96" s="25"/>
      <c r="U96" s="25"/>
    </row>
    <row r="97" spans="12:21" x14ac:dyDescent="0.2">
      <c r="Q97" s="25"/>
      <c r="U97" s="25"/>
    </row>
    <row r="98" spans="12:21" x14ac:dyDescent="0.2">
      <c r="Q98" s="25"/>
      <c r="U98" s="25"/>
    </row>
    <row r="99" spans="12:21" x14ac:dyDescent="0.2">
      <c r="L99" s="25"/>
      <c r="Q99" s="25"/>
      <c r="U99" s="25"/>
    </row>
    <row r="100" spans="12:21" x14ac:dyDescent="0.2">
      <c r="Q100" s="25"/>
      <c r="U100" s="25"/>
    </row>
    <row r="101" spans="12:21" x14ac:dyDescent="0.2">
      <c r="Q101" s="25"/>
      <c r="U101" s="25"/>
    </row>
    <row r="102" spans="12:21" x14ac:dyDescent="0.2">
      <c r="Q102" s="25"/>
      <c r="U102" s="25"/>
    </row>
    <row r="103" spans="12:21" x14ac:dyDescent="0.2">
      <c r="Q103" s="25"/>
      <c r="U103" s="25"/>
    </row>
    <row r="104" spans="12:21" x14ac:dyDescent="0.2">
      <c r="Q104" s="25"/>
      <c r="U104" s="25"/>
    </row>
    <row r="105" spans="12:21" x14ac:dyDescent="0.2">
      <c r="Q105" s="25"/>
      <c r="U105" s="25"/>
    </row>
    <row r="106" spans="12:21" x14ac:dyDescent="0.2">
      <c r="Q106" s="25"/>
      <c r="U106" s="25"/>
    </row>
    <row r="107" spans="12:21" x14ac:dyDescent="0.2">
      <c r="Q107" s="25"/>
      <c r="U107" s="25"/>
    </row>
    <row r="108" spans="12:21" x14ac:dyDescent="0.2">
      <c r="Q108" s="25"/>
      <c r="U108" s="25"/>
    </row>
    <row r="109" spans="12:21" x14ac:dyDescent="0.2">
      <c r="Q109" s="25"/>
      <c r="U109" s="25"/>
    </row>
    <row r="110" spans="12:21" x14ac:dyDescent="0.2">
      <c r="Q110" s="25"/>
      <c r="U110" s="25"/>
    </row>
    <row r="111" spans="12:21" x14ac:dyDescent="0.2">
      <c r="Q111" s="25"/>
      <c r="U111" s="25"/>
    </row>
    <row r="112" spans="12:21" x14ac:dyDescent="0.2">
      <c r="Q112" s="25"/>
      <c r="U112" s="25"/>
    </row>
    <row r="113" spans="17:21" x14ac:dyDescent="0.2">
      <c r="Q113" s="25"/>
      <c r="U113" s="25"/>
    </row>
    <row r="114" spans="17:21" x14ac:dyDescent="0.2">
      <c r="Q114" s="25"/>
      <c r="U114" s="25"/>
    </row>
    <row r="115" spans="17:21" x14ac:dyDescent="0.2">
      <c r="Q115" s="25"/>
      <c r="U115" s="25"/>
    </row>
    <row r="116" spans="17:21" x14ac:dyDescent="0.2">
      <c r="Q116" s="25"/>
      <c r="U116" s="25"/>
    </row>
    <row r="117" spans="17:21" x14ac:dyDescent="0.2">
      <c r="Q117" s="25"/>
      <c r="U117" s="25"/>
    </row>
    <row r="118" spans="17:21" x14ac:dyDescent="0.2">
      <c r="Q118" s="25"/>
      <c r="U118" s="25"/>
    </row>
    <row r="119" spans="17:21" x14ac:dyDescent="0.2">
      <c r="Q119" s="25"/>
      <c r="U119" s="25"/>
    </row>
    <row r="120" spans="17:21" x14ac:dyDescent="0.2">
      <c r="Q120" s="25"/>
      <c r="U120" s="25"/>
    </row>
    <row r="121" spans="17:21" x14ac:dyDescent="0.2">
      <c r="Q121" s="25"/>
      <c r="U121" s="25"/>
    </row>
    <row r="122" spans="17:21" x14ac:dyDescent="0.2">
      <c r="Q122" s="25"/>
      <c r="U122" s="25"/>
    </row>
    <row r="123" spans="17:21" x14ac:dyDescent="0.2">
      <c r="Q123" s="25"/>
      <c r="U123" s="2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V65"/>
  <sheetViews>
    <sheetView zoomScale="95" zoomScaleNormal="95" workbookViewId="0">
      <selection activeCell="B66" sqref="B66"/>
    </sheetView>
  </sheetViews>
  <sheetFormatPr baseColWidth="10" defaultColWidth="8.83203125" defaultRowHeight="15" x14ac:dyDescent="0.2"/>
  <cols>
    <col min="1" max="1" width="1.83203125" customWidth="1"/>
    <col min="2" max="2" width="35.1640625" customWidth="1"/>
    <col min="4" max="4" width="9.5" bestFit="1" customWidth="1"/>
    <col min="6" max="6" width="47.83203125" bestFit="1" customWidth="1"/>
    <col min="7" max="7" width="3.6640625" customWidth="1"/>
    <col min="8" max="8" width="6.5" customWidth="1"/>
    <col min="9" max="10" width="5.5" customWidth="1"/>
    <col min="11" max="11" width="6.1640625" customWidth="1"/>
    <col min="12" max="12" width="4" customWidth="1"/>
    <col min="13" max="13" width="7" customWidth="1"/>
    <col min="14" max="14" width="7.83203125" customWidth="1"/>
    <col min="15" max="15" width="4.1640625" customWidth="1"/>
    <col min="16" max="16" width="9.5" customWidth="1"/>
    <col min="17" max="17" width="8.1640625" customWidth="1"/>
    <col min="18" max="18" width="5.5" customWidth="1"/>
    <col min="20" max="20" width="7.33203125" bestFit="1" customWidth="1"/>
    <col min="22" max="22" width="3.33203125" bestFit="1" customWidth="1"/>
  </cols>
  <sheetData>
    <row r="1" spans="2:22" ht="19" x14ac:dyDescent="0.25">
      <c r="B1" s="738" t="s">
        <v>590</v>
      </c>
      <c r="H1" s="92" t="s">
        <v>138</v>
      </c>
      <c r="T1" s="5"/>
    </row>
    <row r="2" spans="2:22" ht="16" thickBot="1" x14ac:dyDescent="0.25"/>
    <row r="3" spans="2:22" ht="21" x14ac:dyDescent="0.25">
      <c r="B3" s="292" t="s">
        <v>591</v>
      </c>
      <c r="C3" s="300" t="s">
        <v>139</v>
      </c>
      <c r="D3" s="334">
        <v>725</v>
      </c>
      <c r="E3" s="300" t="s">
        <v>7</v>
      </c>
      <c r="F3" s="293" t="s">
        <v>592</v>
      </c>
      <c r="H3" s="739" t="s">
        <v>593</v>
      </c>
      <c r="I3" s="304"/>
      <c r="J3" s="304"/>
      <c r="K3" s="306"/>
      <c r="L3" s="740" t="s">
        <v>594</v>
      </c>
      <c r="M3" s="740"/>
      <c r="N3" s="741"/>
      <c r="O3" s="5"/>
      <c r="P3" s="5"/>
      <c r="Q3" s="5"/>
      <c r="R3" s="5"/>
    </row>
    <row r="4" spans="2:22" ht="21" x14ac:dyDescent="0.25">
      <c r="B4" s="96" t="s">
        <v>595</v>
      </c>
      <c r="C4" s="93" t="s">
        <v>596</v>
      </c>
      <c r="D4" s="54">
        <v>21</v>
      </c>
      <c r="E4" s="93" t="s">
        <v>7</v>
      </c>
      <c r="F4" s="97"/>
      <c r="H4" s="742" t="s">
        <v>597</v>
      </c>
      <c r="I4" s="298"/>
      <c r="J4" s="298"/>
      <c r="K4" s="308"/>
      <c r="L4" s="281"/>
      <c r="M4" s="281"/>
      <c r="N4" s="743"/>
      <c r="O4" s="5"/>
      <c r="P4" s="5"/>
      <c r="Q4" s="5"/>
      <c r="R4" s="5"/>
    </row>
    <row r="5" spans="2:22" x14ac:dyDescent="0.2">
      <c r="B5" s="96"/>
      <c r="C5" s="93"/>
      <c r="D5" s="93"/>
      <c r="E5" s="93"/>
      <c r="F5" s="97"/>
      <c r="H5" s="307"/>
      <c r="I5" s="298"/>
      <c r="J5" s="298"/>
      <c r="K5" s="308"/>
      <c r="L5" s="281"/>
      <c r="M5" s="281"/>
      <c r="N5" s="743"/>
      <c r="O5" s="5"/>
      <c r="P5" s="5"/>
      <c r="Q5" s="5"/>
      <c r="R5" s="5"/>
    </row>
    <row r="6" spans="2:22" x14ac:dyDescent="0.2">
      <c r="B6" s="96" t="s">
        <v>598</v>
      </c>
      <c r="C6" s="302" t="s">
        <v>135</v>
      </c>
      <c r="D6" s="54">
        <v>0.03</v>
      </c>
      <c r="E6" s="93" t="s">
        <v>137</v>
      </c>
      <c r="F6" s="97"/>
      <c r="H6" s="307"/>
      <c r="I6" s="298"/>
      <c r="J6" s="298"/>
      <c r="K6" s="308"/>
      <c r="L6" s="281"/>
      <c r="M6" s="281"/>
      <c r="N6" s="743"/>
      <c r="O6" s="5"/>
      <c r="P6" s="5"/>
      <c r="Q6" s="5"/>
      <c r="R6" s="5"/>
    </row>
    <row r="7" spans="2:22" ht="19" x14ac:dyDescent="0.25">
      <c r="B7" s="96" t="s">
        <v>599</v>
      </c>
      <c r="C7" s="303" t="s">
        <v>140</v>
      </c>
      <c r="D7" s="54">
        <v>1000</v>
      </c>
      <c r="E7" s="93" t="s">
        <v>134</v>
      </c>
      <c r="F7" s="97"/>
      <c r="H7" s="307"/>
      <c r="I7" s="298"/>
      <c r="J7" s="298"/>
      <c r="K7" s="308"/>
      <c r="L7" s="281"/>
      <c r="M7" s="305">
        <f>D7</f>
        <v>1000</v>
      </c>
      <c r="N7" s="744" t="s">
        <v>134</v>
      </c>
      <c r="O7" s="5"/>
      <c r="P7" s="5"/>
      <c r="Q7" s="5"/>
      <c r="R7" s="5"/>
    </row>
    <row r="8" spans="2:22" ht="18" x14ac:dyDescent="0.25">
      <c r="B8" s="96" t="s">
        <v>141</v>
      </c>
      <c r="C8" s="302" t="s">
        <v>142</v>
      </c>
      <c r="D8" s="94">
        <f>(D7/1000)/D6</f>
        <v>33.333333333333336</v>
      </c>
      <c r="E8" s="93" t="s">
        <v>143</v>
      </c>
      <c r="F8" s="97"/>
      <c r="H8" s="307"/>
      <c r="I8" s="298"/>
      <c r="J8" s="298"/>
      <c r="K8" s="308"/>
      <c r="L8" s="281"/>
      <c r="M8" s="281"/>
      <c r="N8" s="743"/>
      <c r="O8" s="5"/>
      <c r="P8" s="5"/>
      <c r="Q8" s="5"/>
      <c r="R8" s="5"/>
    </row>
    <row r="9" spans="2:22" x14ac:dyDescent="0.2">
      <c r="B9" s="96"/>
      <c r="C9" s="302"/>
      <c r="D9" s="309"/>
      <c r="E9" s="93"/>
      <c r="F9" s="97"/>
      <c r="H9" s="307"/>
      <c r="I9" s="298"/>
      <c r="J9" s="298"/>
      <c r="K9" s="308"/>
      <c r="L9" s="281"/>
      <c r="M9" s="281"/>
      <c r="N9" s="743"/>
      <c r="O9" s="5"/>
      <c r="P9" s="5"/>
      <c r="Q9" s="5"/>
      <c r="R9" s="5"/>
    </row>
    <row r="10" spans="2:22" ht="17" x14ac:dyDescent="0.2">
      <c r="B10" s="96" t="s">
        <v>600</v>
      </c>
      <c r="C10" s="302" t="s">
        <v>144</v>
      </c>
      <c r="D10" s="95">
        <v>4.3</v>
      </c>
      <c r="E10" s="93" t="s">
        <v>145</v>
      </c>
      <c r="F10" s="97" t="s">
        <v>601</v>
      </c>
      <c r="H10" s="307"/>
      <c r="I10" s="298"/>
      <c r="J10" s="298"/>
      <c r="K10" s="308"/>
      <c r="L10" s="281"/>
      <c r="M10" s="281"/>
      <c r="N10" s="743"/>
      <c r="O10" s="5"/>
    </row>
    <row r="11" spans="2:22" ht="18" x14ac:dyDescent="0.25">
      <c r="B11" s="96" t="s">
        <v>146</v>
      </c>
      <c r="C11" s="93" t="s">
        <v>147</v>
      </c>
      <c r="D11" s="94">
        <f>1/D10</f>
        <v>0.23255813953488372</v>
      </c>
      <c r="E11" s="93" t="s">
        <v>143</v>
      </c>
      <c r="F11" s="97"/>
      <c r="H11" s="307"/>
      <c r="I11" s="298"/>
      <c r="J11" s="298"/>
      <c r="K11" s="308"/>
      <c r="L11" s="281"/>
      <c r="M11" s="281"/>
      <c r="N11" s="743"/>
      <c r="O11" s="5"/>
      <c r="P11" s="5"/>
      <c r="Q11" s="5"/>
      <c r="R11" s="5"/>
    </row>
    <row r="12" spans="2:22" ht="22" x14ac:dyDescent="0.25">
      <c r="B12" s="96"/>
      <c r="C12" s="93"/>
      <c r="D12" s="94"/>
      <c r="E12" s="93"/>
      <c r="F12" s="97"/>
      <c r="H12" s="307"/>
      <c r="I12" s="298"/>
      <c r="J12" s="298"/>
      <c r="K12" s="308"/>
      <c r="L12" s="281"/>
      <c r="M12" s="281"/>
      <c r="N12" s="743"/>
      <c r="O12" s="5"/>
      <c r="P12" s="5"/>
      <c r="Q12" s="324">
        <f>D17</f>
        <v>20.973047223304434</v>
      </c>
      <c r="R12" s="523" t="s">
        <v>148</v>
      </c>
    </row>
    <row r="13" spans="2:22" ht="17" x14ac:dyDescent="0.2">
      <c r="B13" s="294" t="s">
        <v>602</v>
      </c>
      <c r="C13" s="295" t="s">
        <v>144</v>
      </c>
      <c r="D13" s="312">
        <v>1000</v>
      </c>
      <c r="E13" s="297" t="s">
        <v>145</v>
      </c>
      <c r="F13" s="296" t="s">
        <v>603</v>
      </c>
      <c r="H13" s="307"/>
      <c r="I13" s="298"/>
      <c r="J13" s="298"/>
      <c r="K13" s="308"/>
      <c r="L13" s="281"/>
      <c r="M13" s="281"/>
      <c r="N13" s="743"/>
      <c r="O13" s="5"/>
      <c r="P13" s="5"/>
      <c r="Q13" s="5"/>
      <c r="R13" s="5"/>
    </row>
    <row r="14" spans="2:22" ht="19" x14ac:dyDescent="0.25">
      <c r="B14" s="294" t="s">
        <v>604</v>
      </c>
      <c r="C14" s="297" t="s">
        <v>149</v>
      </c>
      <c r="D14" s="297">
        <f>1/D13</f>
        <v>1E-3</v>
      </c>
      <c r="E14" s="297" t="s">
        <v>143</v>
      </c>
      <c r="F14" s="296"/>
      <c r="H14" s="307"/>
      <c r="I14" s="298"/>
      <c r="J14" s="298"/>
      <c r="K14" s="308"/>
      <c r="L14" s="281"/>
      <c r="M14" s="281"/>
      <c r="N14" s="745"/>
      <c r="O14" s="323"/>
      <c r="Q14" s="523"/>
      <c r="R14" s="5"/>
      <c r="S14" s="746"/>
    </row>
    <row r="15" spans="2:22" ht="19" x14ac:dyDescent="0.25">
      <c r="B15" s="294"/>
      <c r="C15" s="295"/>
      <c r="D15" s="297"/>
      <c r="E15" s="297"/>
      <c r="F15" s="296"/>
      <c r="H15" s="307"/>
      <c r="I15" s="298"/>
      <c r="J15" s="298"/>
      <c r="K15" s="308"/>
      <c r="L15" s="281"/>
      <c r="M15" s="281"/>
      <c r="N15" s="745"/>
      <c r="R15" s="5"/>
    </row>
    <row r="16" spans="2:22" ht="19" x14ac:dyDescent="0.25">
      <c r="B16" s="622" t="s">
        <v>150</v>
      </c>
      <c r="C16" s="465" t="s">
        <v>151</v>
      </c>
      <c r="D16" s="467">
        <f>D8+D11+D14</f>
        <v>33.566891472868214</v>
      </c>
      <c r="E16" s="465" t="s">
        <v>143</v>
      </c>
      <c r="F16" s="623"/>
      <c r="H16" s="307"/>
      <c r="I16" s="298"/>
      <c r="J16" s="298"/>
      <c r="K16" s="308"/>
      <c r="L16" s="281"/>
      <c r="M16" s="281"/>
      <c r="N16" s="745"/>
      <c r="R16" s="5"/>
      <c r="U16" s="746"/>
      <c r="V16" s="523"/>
    </row>
    <row r="17" spans="2:19" ht="19" x14ac:dyDescent="0.25">
      <c r="B17" s="622" t="s">
        <v>152</v>
      </c>
      <c r="C17" s="472" t="s">
        <v>153</v>
      </c>
      <c r="D17" s="468">
        <f>(D3-D4)/D16</f>
        <v>20.973047223304434</v>
      </c>
      <c r="E17" s="465" t="s">
        <v>154</v>
      </c>
      <c r="F17" s="623"/>
      <c r="H17" s="307"/>
      <c r="I17" s="298"/>
      <c r="J17" s="298"/>
      <c r="K17" s="308"/>
      <c r="L17" s="281"/>
      <c r="M17" s="281"/>
      <c r="N17" s="745"/>
      <c r="R17" s="5"/>
    </row>
    <row r="18" spans="2:19" ht="19" x14ac:dyDescent="0.25">
      <c r="B18" s="622" t="s">
        <v>615</v>
      </c>
      <c r="C18" s="472" t="s">
        <v>155</v>
      </c>
      <c r="D18" s="757">
        <v>1.44</v>
      </c>
      <c r="E18" s="472" t="s">
        <v>156</v>
      </c>
      <c r="F18" s="623"/>
      <c r="H18" s="307"/>
      <c r="I18" s="298"/>
      <c r="J18" s="298"/>
      <c r="K18" s="308"/>
      <c r="L18" s="281"/>
      <c r="M18" s="281"/>
      <c r="N18" s="745"/>
      <c r="R18" s="5"/>
    </row>
    <row r="19" spans="2:19" ht="19" x14ac:dyDescent="0.25">
      <c r="B19" s="622" t="s">
        <v>616</v>
      </c>
      <c r="C19" s="472"/>
      <c r="D19" s="468">
        <f>D17*D18</f>
        <v>30.201188001558382</v>
      </c>
      <c r="E19" s="472" t="s">
        <v>1</v>
      </c>
      <c r="F19" s="623"/>
      <c r="H19" s="307"/>
      <c r="I19" s="298"/>
      <c r="J19" s="298"/>
      <c r="K19" s="308"/>
      <c r="L19" s="281"/>
      <c r="M19" s="281"/>
      <c r="N19" s="745"/>
      <c r="R19" s="5"/>
    </row>
    <row r="20" spans="2:19" x14ac:dyDescent="0.2">
      <c r="B20" s="622"/>
      <c r="C20" s="465"/>
      <c r="D20" s="465"/>
      <c r="E20" s="465"/>
      <c r="F20" s="623"/>
      <c r="H20" s="307"/>
      <c r="I20" s="298"/>
      <c r="J20" s="298"/>
      <c r="K20" s="308"/>
      <c r="L20" s="281"/>
      <c r="M20" s="281"/>
      <c r="N20" s="743"/>
      <c r="O20" s="5"/>
      <c r="P20" s="5"/>
      <c r="Q20" s="5"/>
      <c r="R20" s="5"/>
      <c r="S20" s="5"/>
    </row>
    <row r="21" spans="2:19" ht="19" x14ac:dyDescent="0.25">
      <c r="B21" s="622" t="s">
        <v>158</v>
      </c>
      <c r="C21" s="465"/>
      <c r="D21" s="468">
        <f>D3-(D17*D14)</f>
        <v>724.97902695277674</v>
      </c>
      <c r="E21" s="465" t="s">
        <v>7</v>
      </c>
      <c r="F21" s="623"/>
      <c r="H21" s="314">
        <f>D3</f>
        <v>725</v>
      </c>
      <c r="I21" s="315" t="s">
        <v>7</v>
      </c>
      <c r="J21" s="298"/>
      <c r="K21" s="747">
        <f>D21</f>
        <v>724.97902695277674</v>
      </c>
      <c r="L21" s="316" t="s">
        <v>7</v>
      </c>
      <c r="M21" s="317"/>
      <c r="N21" s="318">
        <f>D22</f>
        <v>25.877452842628937</v>
      </c>
      <c r="O21" s="316" t="s">
        <v>7</v>
      </c>
      <c r="P21" s="523">
        <f>D4</f>
        <v>21</v>
      </c>
      <c r="Q21" s="323" t="s">
        <v>7</v>
      </c>
      <c r="R21" s="5"/>
      <c r="S21" s="5"/>
    </row>
    <row r="22" spans="2:19" ht="16" thickBot="1" x14ac:dyDescent="0.25">
      <c r="B22" s="636" t="s">
        <v>159</v>
      </c>
      <c r="C22" s="637"/>
      <c r="D22" s="748">
        <f>(D17*D11)+D4</f>
        <v>25.877452842628937</v>
      </c>
      <c r="E22" s="637" t="s">
        <v>7</v>
      </c>
      <c r="F22" s="639"/>
      <c r="H22" s="320"/>
      <c r="I22" s="299"/>
      <c r="J22" s="299"/>
      <c r="K22" s="321"/>
      <c r="L22" s="749"/>
      <c r="M22" s="749"/>
      <c r="N22" s="750"/>
      <c r="O22" s="5"/>
      <c r="P22" s="5"/>
      <c r="Q22" s="5"/>
      <c r="R22" s="5"/>
      <c r="S22" s="5"/>
    </row>
    <row r="23" spans="2:19" x14ac:dyDescent="0.2"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x14ac:dyDescent="0.2">
      <c r="P24" s="325"/>
      <c r="Q24" s="5"/>
      <c r="R24" s="5"/>
      <c r="S24" s="5"/>
    </row>
    <row r="25" spans="2:19" ht="19" x14ac:dyDescent="0.25">
      <c r="B25" s="738" t="s">
        <v>605</v>
      </c>
      <c r="H25" s="92" t="s">
        <v>606</v>
      </c>
      <c r="I25" s="751"/>
      <c r="J25" s="751"/>
      <c r="K25" s="751"/>
      <c r="L25" s="751"/>
      <c r="M25" s="751"/>
      <c r="N25" s="751"/>
      <c r="O25" s="751"/>
      <c r="P25" s="751"/>
    </row>
    <row r="26" spans="2:19" ht="16" thickBot="1" x14ac:dyDescent="0.25"/>
    <row r="27" spans="2:19" ht="21" x14ac:dyDescent="0.25">
      <c r="B27" s="292" t="s">
        <v>591</v>
      </c>
      <c r="C27" s="300" t="s">
        <v>139</v>
      </c>
      <c r="D27" s="300">
        <f>D3</f>
        <v>725</v>
      </c>
      <c r="E27" s="300" t="s">
        <v>7</v>
      </c>
      <c r="F27" s="293" t="s">
        <v>592</v>
      </c>
      <c r="H27" s="739" t="s">
        <v>593</v>
      </c>
      <c r="I27" s="304"/>
      <c r="J27" s="304"/>
      <c r="K27" s="304"/>
      <c r="L27" s="752" t="s">
        <v>607</v>
      </c>
      <c r="M27" s="753"/>
      <c r="N27" s="754"/>
      <c r="O27" s="755" t="s">
        <v>608</v>
      </c>
      <c r="P27" s="740"/>
      <c r="Q27" s="741"/>
      <c r="R27" s="5"/>
      <c r="S27" s="5"/>
    </row>
    <row r="28" spans="2:19" ht="21" x14ac:dyDescent="0.25">
      <c r="B28" s="96" t="s">
        <v>595</v>
      </c>
      <c r="C28" s="93" t="s">
        <v>596</v>
      </c>
      <c r="D28" s="93">
        <v>21</v>
      </c>
      <c r="E28" s="93" t="s">
        <v>7</v>
      </c>
      <c r="F28" s="97"/>
      <c r="H28" s="742" t="s">
        <v>597</v>
      </c>
      <c r="I28" s="298"/>
      <c r="J28" s="298"/>
      <c r="K28" s="298"/>
      <c r="L28" s="756"/>
      <c r="M28" s="280"/>
      <c r="N28" s="280"/>
      <c r="O28" s="406"/>
      <c r="P28" s="281"/>
      <c r="Q28" s="743"/>
      <c r="R28" s="5"/>
      <c r="S28" s="5"/>
    </row>
    <row r="29" spans="2:19" x14ac:dyDescent="0.2">
      <c r="B29" s="96"/>
      <c r="C29" s="93"/>
      <c r="D29" s="93"/>
      <c r="E29" s="93"/>
      <c r="F29" s="97"/>
      <c r="H29" s="307"/>
      <c r="I29" s="298"/>
      <c r="J29" s="298"/>
      <c r="K29" s="298"/>
      <c r="L29" s="756"/>
      <c r="M29" s="280"/>
      <c r="N29" s="280"/>
      <c r="O29" s="406"/>
      <c r="P29" s="281"/>
      <c r="Q29" s="743"/>
      <c r="R29" s="5"/>
      <c r="S29" s="5"/>
    </row>
    <row r="30" spans="2:19" x14ac:dyDescent="0.2">
      <c r="B30" s="96" t="s">
        <v>598</v>
      </c>
      <c r="C30" s="302" t="s">
        <v>135</v>
      </c>
      <c r="D30" s="93">
        <f>D6</f>
        <v>0.03</v>
      </c>
      <c r="E30" s="93" t="s">
        <v>137</v>
      </c>
      <c r="F30" s="97"/>
      <c r="H30" s="307"/>
      <c r="I30" s="298"/>
      <c r="J30" s="298"/>
      <c r="K30" s="298"/>
      <c r="L30" s="756"/>
      <c r="M30" s="280"/>
      <c r="N30" s="280"/>
      <c r="O30" s="406"/>
      <c r="P30" s="281"/>
      <c r="Q30" s="743"/>
      <c r="R30" s="5"/>
      <c r="S30" s="5"/>
    </row>
    <row r="31" spans="2:19" ht="19" x14ac:dyDescent="0.25">
      <c r="B31" s="96" t="s">
        <v>599</v>
      </c>
      <c r="C31" s="303" t="s">
        <v>140</v>
      </c>
      <c r="D31" s="93">
        <f>D7</f>
        <v>1000</v>
      </c>
      <c r="E31" s="93" t="s">
        <v>134</v>
      </c>
      <c r="F31" s="97"/>
      <c r="H31" s="307"/>
      <c r="I31" s="298"/>
      <c r="J31" s="298"/>
      <c r="K31" s="298"/>
      <c r="L31" s="756"/>
      <c r="M31" s="310">
        <f>D35</f>
        <v>18</v>
      </c>
      <c r="N31" s="311" t="s">
        <v>134</v>
      </c>
      <c r="O31" s="406"/>
      <c r="P31" s="305">
        <f>D31</f>
        <v>1000</v>
      </c>
      <c r="Q31" s="744" t="s">
        <v>134</v>
      </c>
      <c r="R31" s="5"/>
      <c r="S31" s="5"/>
    </row>
    <row r="32" spans="2:19" ht="18" x14ac:dyDescent="0.25">
      <c r="B32" s="96" t="s">
        <v>141</v>
      </c>
      <c r="C32" s="302" t="s">
        <v>142</v>
      </c>
      <c r="D32" s="94">
        <f>(D31/1000)/D30</f>
        <v>33.333333333333336</v>
      </c>
      <c r="E32" s="93" t="s">
        <v>143</v>
      </c>
      <c r="F32" s="97"/>
      <c r="H32" s="307"/>
      <c r="I32" s="298"/>
      <c r="J32" s="298"/>
      <c r="K32" s="298"/>
      <c r="L32" s="756"/>
      <c r="M32" s="280"/>
      <c r="N32" s="280"/>
      <c r="O32" s="406"/>
      <c r="P32" s="281"/>
      <c r="Q32" s="743"/>
      <c r="R32" s="5"/>
      <c r="S32" s="5"/>
    </row>
    <row r="33" spans="2:20" x14ac:dyDescent="0.2">
      <c r="B33" s="96"/>
      <c r="C33" s="302"/>
      <c r="D33" s="309"/>
      <c r="E33" s="93"/>
      <c r="F33" s="97"/>
      <c r="H33" s="307"/>
      <c r="I33" s="298"/>
      <c r="J33" s="298"/>
      <c r="K33" s="298"/>
      <c r="L33" s="756"/>
      <c r="M33" s="280"/>
      <c r="N33" s="280"/>
      <c r="O33" s="406"/>
      <c r="P33" s="281"/>
      <c r="Q33" s="743"/>
      <c r="R33" s="5"/>
      <c r="S33" s="5"/>
    </row>
    <row r="34" spans="2:20" x14ac:dyDescent="0.2">
      <c r="B34" s="96" t="s">
        <v>609</v>
      </c>
      <c r="C34" s="302"/>
      <c r="D34" s="98">
        <v>0.05</v>
      </c>
      <c r="E34" s="93" t="s">
        <v>137</v>
      </c>
      <c r="F34" s="97" t="s">
        <v>610</v>
      </c>
      <c r="H34" s="307"/>
      <c r="I34" s="298"/>
      <c r="J34" s="298"/>
      <c r="K34" s="298"/>
      <c r="L34" s="756"/>
      <c r="M34" s="280"/>
      <c r="N34" s="280"/>
      <c r="O34" s="406"/>
      <c r="P34" s="281"/>
      <c r="Q34" s="743"/>
    </row>
    <row r="35" spans="2:20" x14ac:dyDescent="0.2">
      <c r="B35" s="96" t="s">
        <v>611</v>
      </c>
      <c r="C35" s="302" t="s">
        <v>140</v>
      </c>
      <c r="D35" s="54">
        <v>18</v>
      </c>
      <c r="E35" s="93" t="s">
        <v>134</v>
      </c>
      <c r="F35" s="97"/>
      <c r="H35" s="307"/>
      <c r="I35" s="298"/>
      <c r="J35" s="298"/>
      <c r="K35" s="298"/>
      <c r="L35" s="756"/>
      <c r="M35" s="280"/>
      <c r="N35" s="280"/>
      <c r="O35" s="406"/>
      <c r="P35" s="281"/>
      <c r="Q35" s="743"/>
      <c r="R35" s="5"/>
      <c r="S35" s="5"/>
    </row>
    <row r="36" spans="2:20" ht="18" x14ac:dyDescent="0.25">
      <c r="B36" s="96" t="s">
        <v>612</v>
      </c>
      <c r="C36" s="302" t="s">
        <v>142</v>
      </c>
      <c r="D36" s="94">
        <f>(D35/1000)/D34</f>
        <v>0.35999999999999993</v>
      </c>
      <c r="E36" s="93" t="s">
        <v>143</v>
      </c>
      <c r="F36" s="97"/>
      <c r="H36" s="307"/>
      <c r="I36" s="298"/>
      <c r="J36" s="298"/>
      <c r="K36" s="298"/>
      <c r="L36" s="756"/>
      <c r="M36" s="280"/>
      <c r="N36" s="280"/>
      <c r="O36" s="406"/>
      <c r="P36" s="281"/>
      <c r="Q36" s="743"/>
      <c r="R36" s="5"/>
      <c r="S36" s="5"/>
    </row>
    <row r="37" spans="2:20" ht="22" x14ac:dyDescent="0.25">
      <c r="B37" s="96"/>
      <c r="C37" s="302"/>
      <c r="D37" s="309"/>
      <c r="E37" s="93"/>
      <c r="F37" s="97"/>
      <c r="H37" s="307"/>
      <c r="I37" s="298"/>
      <c r="J37" s="298"/>
      <c r="K37" s="298"/>
      <c r="L37" s="756"/>
      <c r="M37" s="280"/>
      <c r="N37" s="280"/>
      <c r="O37" s="406"/>
      <c r="P37" s="281"/>
      <c r="Q37" s="743"/>
      <c r="R37" s="5"/>
      <c r="S37" s="324">
        <f>D42</f>
        <v>20.489865169756147</v>
      </c>
      <c r="T37" s="523" t="s">
        <v>148</v>
      </c>
    </row>
    <row r="38" spans="2:20" ht="17" x14ac:dyDescent="0.2">
      <c r="B38" s="96" t="s">
        <v>613</v>
      </c>
      <c r="C38" s="302" t="s">
        <v>144</v>
      </c>
      <c r="D38" s="93">
        <f>D10</f>
        <v>4.3</v>
      </c>
      <c r="E38" s="93" t="s">
        <v>145</v>
      </c>
      <c r="F38" s="97" t="s">
        <v>601</v>
      </c>
      <c r="H38" s="307"/>
      <c r="I38" s="298"/>
      <c r="J38" s="298"/>
      <c r="K38" s="298"/>
      <c r="L38" s="756"/>
      <c r="M38" s="280"/>
      <c r="N38" s="280"/>
      <c r="O38" s="406"/>
      <c r="P38" s="281"/>
      <c r="Q38" s="743"/>
    </row>
    <row r="39" spans="2:20" ht="19" x14ac:dyDescent="0.25">
      <c r="B39" s="96" t="s">
        <v>614</v>
      </c>
      <c r="C39" s="93" t="s">
        <v>147</v>
      </c>
      <c r="D39" s="94">
        <f>1/D38</f>
        <v>0.23255813953488372</v>
      </c>
      <c r="E39" s="93" t="s">
        <v>143</v>
      </c>
      <c r="F39" s="97"/>
      <c r="H39" s="307"/>
      <c r="I39" s="298"/>
      <c r="J39" s="298"/>
      <c r="K39" s="298"/>
      <c r="L39" s="756"/>
      <c r="M39" s="280"/>
      <c r="N39" s="280"/>
      <c r="O39" s="406"/>
      <c r="P39" s="281"/>
      <c r="Q39" s="743"/>
      <c r="S39" s="523"/>
      <c r="T39" s="5"/>
    </row>
    <row r="40" spans="2:20" x14ac:dyDescent="0.2">
      <c r="B40" s="96"/>
      <c r="C40" s="93"/>
      <c r="D40" s="94"/>
      <c r="E40" s="93"/>
      <c r="F40" s="97"/>
      <c r="H40" s="307"/>
      <c r="I40" s="298"/>
      <c r="J40" s="298"/>
      <c r="K40" s="298"/>
      <c r="L40" s="756"/>
      <c r="M40" s="280"/>
      <c r="N40" s="280"/>
      <c r="O40" s="406"/>
      <c r="P40" s="281"/>
      <c r="Q40" s="743"/>
    </row>
    <row r="41" spans="2:20" ht="18" x14ac:dyDescent="0.25">
      <c r="B41" s="622" t="s">
        <v>150</v>
      </c>
      <c r="C41" s="465" t="s">
        <v>151</v>
      </c>
      <c r="D41" s="467">
        <f>D32+2*D39+D57+D36</f>
        <v>34.358449612403106</v>
      </c>
      <c r="E41" s="465" t="s">
        <v>143</v>
      </c>
      <c r="F41" s="623"/>
      <c r="H41" s="307"/>
      <c r="I41" s="298"/>
      <c r="J41" s="298"/>
      <c r="K41" s="298"/>
      <c r="L41" s="756"/>
      <c r="M41" s="280"/>
      <c r="N41" s="280"/>
      <c r="O41" s="406"/>
      <c r="P41" s="281"/>
      <c r="Q41" s="743"/>
    </row>
    <row r="42" spans="2:20" ht="18" x14ac:dyDescent="0.25">
      <c r="B42" s="622" t="s">
        <v>152</v>
      </c>
      <c r="C42" s="472" t="s">
        <v>153</v>
      </c>
      <c r="D42" s="468">
        <f>(D27-D28)/D41</f>
        <v>20.489865169756147</v>
      </c>
      <c r="E42" s="465" t="s">
        <v>154</v>
      </c>
      <c r="F42" s="623"/>
      <c r="H42" s="307"/>
      <c r="I42" s="298"/>
      <c r="J42" s="298"/>
      <c r="K42" s="298"/>
      <c r="L42" s="756"/>
      <c r="M42" s="280"/>
      <c r="N42" s="280"/>
      <c r="O42" s="406"/>
      <c r="P42" s="281"/>
      <c r="Q42" s="743"/>
      <c r="R42" s="5"/>
      <c r="S42" s="5"/>
    </row>
    <row r="43" spans="2:20" ht="17" x14ac:dyDescent="0.2">
      <c r="B43" s="622" t="s">
        <v>615</v>
      </c>
      <c r="C43" s="472" t="s">
        <v>155</v>
      </c>
      <c r="D43" s="472">
        <f>D18</f>
        <v>1.44</v>
      </c>
      <c r="E43" s="472" t="s">
        <v>156</v>
      </c>
      <c r="F43" s="623"/>
      <c r="H43" s="307"/>
      <c r="I43" s="298"/>
      <c r="J43" s="298"/>
      <c r="K43" s="298"/>
      <c r="L43" s="756"/>
      <c r="M43" s="280"/>
      <c r="N43" s="280"/>
      <c r="O43" s="406"/>
      <c r="P43" s="281"/>
      <c r="Q43" s="743"/>
      <c r="R43" s="5"/>
      <c r="S43" s="5"/>
    </row>
    <row r="44" spans="2:20" x14ac:dyDescent="0.2">
      <c r="B44" s="622" t="s">
        <v>616</v>
      </c>
      <c r="C44" s="472"/>
      <c r="D44" s="468">
        <f>D42*D43</f>
        <v>29.505405844448852</v>
      </c>
      <c r="E44" s="472" t="s">
        <v>1</v>
      </c>
      <c r="F44" s="623"/>
      <c r="H44" s="307"/>
      <c r="I44" s="298"/>
      <c r="J44" s="298"/>
      <c r="K44" s="298"/>
      <c r="L44" s="756"/>
      <c r="M44" s="280"/>
      <c r="N44" s="280"/>
      <c r="O44" s="406"/>
      <c r="P44" s="281"/>
      <c r="Q44" s="743"/>
      <c r="R44" s="5"/>
      <c r="S44" s="5"/>
    </row>
    <row r="45" spans="2:20" ht="19" x14ac:dyDescent="0.25">
      <c r="B45" s="622"/>
      <c r="C45" s="465"/>
      <c r="D45" s="465"/>
      <c r="E45" s="465"/>
      <c r="F45" s="623"/>
      <c r="H45" s="307"/>
      <c r="I45" s="298"/>
      <c r="J45" s="298"/>
      <c r="K45" s="298"/>
      <c r="L45" s="756"/>
      <c r="M45" s="280"/>
      <c r="N45" s="758"/>
      <c r="O45" s="406"/>
      <c r="P45" s="281"/>
      <c r="Q45" s="745"/>
      <c r="R45" s="5"/>
      <c r="S45" s="5"/>
    </row>
    <row r="46" spans="2:20" x14ac:dyDescent="0.2">
      <c r="B46" s="622" t="s">
        <v>617</v>
      </c>
      <c r="C46" s="465"/>
      <c r="D46" s="468">
        <f>D27-(D42*D39)</f>
        <v>720.23491507680092</v>
      </c>
      <c r="E46" s="465" t="s">
        <v>7</v>
      </c>
      <c r="F46" s="623"/>
      <c r="H46" s="307"/>
      <c r="I46" s="298"/>
      <c r="J46" s="298"/>
      <c r="K46" s="298"/>
      <c r="L46" s="756"/>
      <c r="M46" s="280"/>
      <c r="N46" s="280"/>
      <c r="O46" s="406"/>
      <c r="P46" s="281"/>
      <c r="Q46" s="743"/>
      <c r="R46" s="5"/>
      <c r="S46" s="5"/>
    </row>
    <row r="47" spans="2:20" ht="19" x14ac:dyDescent="0.25">
      <c r="B47" s="622" t="s">
        <v>158</v>
      </c>
      <c r="C47" s="465"/>
      <c r="D47" s="468">
        <f>D27-(D42*(2*D39+D36))</f>
        <v>708.09347869248961</v>
      </c>
      <c r="E47" s="465" t="s">
        <v>7</v>
      </c>
      <c r="F47" s="623"/>
      <c r="H47" s="314">
        <f>D27</f>
        <v>725</v>
      </c>
      <c r="I47" s="315" t="s">
        <v>7</v>
      </c>
      <c r="J47" s="298"/>
      <c r="K47" s="747">
        <f>D46</f>
        <v>720.23491507680092</v>
      </c>
      <c r="L47" s="319" t="s">
        <v>7</v>
      </c>
      <c r="M47" s="313"/>
      <c r="N47" s="759">
        <f>D47</f>
        <v>708.09347869248961</v>
      </c>
      <c r="O47" s="316" t="s">
        <v>7</v>
      </c>
      <c r="P47" s="317"/>
      <c r="Q47" s="759">
        <f>D48</f>
        <v>25.765084923199105</v>
      </c>
      <c r="R47" s="316" t="s">
        <v>7</v>
      </c>
      <c r="S47" s="523">
        <f>D28</f>
        <v>21</v>
      </c>
      <c r="T47" s="92" t="s">
        <v>7</v>
      </c>
    </row>
    <row r="48" spans="2:20" ht="16" thickBot="1" x14ac:dyDescent="0.25">
      <c r="B48" s="636" t="s">
        <v>159</v>
      </c>
      <c r="C48" s="637"/>
      <c r="D48" s="748">
        <f>(D42*D39)+D28</f>
        <v>25.765084923199105</v>
      </c>
      <c r="E48" s="637" t="s">
        <v>7</v>
      </c>
      <c r="F48" s="639"/>
      <c r="H48" s="320"/>
      <c r="I48" s="299"/>
      <c r="J48" s="299"/>
      <c r="K48" s="299"/>
      <c r="L48" s="760"/>
      <c r="M48" s="761"/>
      <c r="N48" s="761"/>
      <c r="O48" s="762"/>
      <c r="P48" s="749"/>
      <c r="Q48" s="750"/>
      <c r="R48" s="5"/>
      <c r="S48" s="5"/>
    </row>
    <row r="49" spans="2:20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2:20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20" ht="19" x14ac:dyDescent="0.25">
      <c r="B51" s="738" t="s">
        <v>618</v>
      </c>
      <c r="H51" s="92" t="s">
        <v>619</v>
      </c>
    </row>
    <row r="52" spans="2:20" ht="16" thickBot="1" x14ac:dyDescent="0.25"/>
    <row r="53" spans="2:20" ht="21" x14ac:dyDescent="0.25">
      <c r="B53" s="292" t="s">
        <v>591</v>
      </c>
      <c r="C53" s="300" t="s">
        <v>139</v>
      </c>
      <c r="D53" s="300">
        <f>D3</f>
        <v>725</v>
      </c>
      <c r="E53" s="300" t="s">
        <v>7</v>
      </c>
      <c r="F53" s="293" t="s">
        <v>592</v>
      </c>
      <c r="H53" s="739" t="s">
        <v>593</v>
      </c>
      <c r="I53" s="304"/>
      <c r="J53" s="304"/>
      <c r="K53" s="306"/>
      <c r="L53" s="301"/>
      <c r="M53" s="301"/>
      <c r="N53" s="5"/>
      <c r="O53" s="5"/>
      <c r="P53" s="5"/>
      <c r="Q53" s="5"/>
      <c r="R53" s="5"/>
    </row>
    <row r="54" spans="2:20" ht="21" x14ac:dyDescent="0.25">
      <c r="B54" s="96" t="s">
        <v>595</v>
      </c>
      <c r="C54" s="93" t="s">
        <v>596</v>
      </c>
      <c r="D54" s="93">
        <f>D4</f>
        <v>21</v>
      </c>
      <c r="E54" s="93" t="s">
        <v>7</v>
      </c>
      <c r="F54" s="97"/>
      <c r="H54" s="742" t="s">
        <v>597</v>
      </c>
      <c r="I54" s="298"/>
      <c r="J54" s="298"/>
      <c r="K54" s="308"/>
      <c r="L54" s="5"/>
      <c r="M54" s="5"/>
      <c r="N54" s="5"/>
      <c r="O54" s="5"/>
      <c r="P54" s="5"/>
      <c r="Q54" s="5"/>
      <c r="R54" s="5"/>
    </row>
    <row r="55" spans="2:20" x14ac:dyDescent="0.2">
      <c r="B55" s="96"/>
      <c r="C55" s="93"/>
      <c r="D55" s="93"/>
      <c r="E55" s="93"/>
      <c r="F55" s="97"/>
      <c r="H55" s="307"/>
      <c r="I55" s="298"/>
      <c r="J55" s="298"/>
      <c r="K55" s="308"/>
      <c r="L55" s="5"/>
      <c r="M55" s="5"/>
      <c r="N55" s="5"/>
      <c r="O55" s="5"/>
      <c r="P55" s="5"/>
      <c r="Q55" s="5"/>
      <c r="R55" s="5"/>
    </row>
    <row r="56" spans="2:20" ht="17" x14ac:dyDescent="0.2">
      <c r="B56" s="96" t="s">
        <v>620</v>
      </c>
      <c r="C56" s="302" t="s">
        <v>144</v>
      </c>
      <c r="D56" s="93">
        <v>5</v>
      </c>
      <c r="E56" s="93" t="s">
        <v>145</v>
      </c>
      <c r="F56" s="97" t="s">
        <v>621</v>
      </c>
      <c r="H56" s="307"/>
      <c r="I56" s="298"/>
      <c r="J56" s="298"/>
      <c r="K56" s="308"/>
      <c r="L56" s="5"/>
      <c r="M56" s="5"/>
      <c r="N56" s="5"/>
      <c r="O56" s="5"/>
    </row>
    <row r="57" spans="2:20" ht="18" x14ac:dyDescent="0.25">
      <c r="B57" s="96" t="s">
        <v>622</v>
      </c>
      <c r="C57" s="93" t="s">
        <v>147</v>
      </c>
      <c r="D57" s="94">
        <f>1/D56</f>
        <v>0.2</v>
      </c>
      <c r="E57" s="93" t="s">
        <v>143</v>
      </c>
      <c r="F57" s="97"/>
      <c r="H57" s="307"/>
      <c r="I57" s="298"/>
      <c r="J57" s="298"/>
      <c r="K57" s="308"/>
      <c r="L57" s="5"/>
      <c r="M57" s="5"/>
      <c r="N57" s="5"/>
      <c r="O57" s="5"/>
      <c r="P57" s="5"/>
      <c r="Q57" s="5"/>
      <c r="R57" s="5"/>
    </row>
    <row r="58" spans="2:20" ht="22" x14ac:dyDescent="0.25">
      <c r="B58" s="96"/>
      <c r="C58" s="93"/>
      <c r="D58" s="94"/>
      <c r="E58" s="93"/>
      <c r="F58" s="97"/>
      <c r="H58" s="307"/>
      <c r="I58" s="298"/>
      <c r="J58" s="298"/>
      <c r="K58" s="308"/>
      <c r="L58" s="5"/>
      <c r="M58" s="5"/>
      <c r="N58" s="324">
        <f>D60</f>
        <v>3520</v>
      </c>
      <c r="O58" s="523" t="s">
        <v>148</v>
      </c>
    </row>
    <row r="59" spans="2:20" ht="19" x14ac:dyDescent="0.25">
      <c r="B59" s="622" t="s">
        <v>150</v>
      </c>
      <c r="C59" s="465" t="s">
        <v>151</v>
      </c>
      <c r="D59" s="467">
        <f>D57</f>
        <v>0.2</v>
      </c>
      <c r="E59" s="465" t="s">
        <v>143</v>
      </c>
      <c r="F59" s="623"/>
      <c r="H59" s="307"/>
      <c r="I59" s="298"/>
      <c r="J59" s="298"/>
      <c r="K59" s="308"/>
      <c r="L59" s="5"/>
      <c r="M59" s="5"/>
      <c r="N59" s="322"/>
      <c r="R59" s="5"/>
    </row>
    <row r="60" spans="2:20" ht="19" x14ac:dyDescent="0.25">
      <c r="B60" s="622" t="s">
        <v>152</v>
      </c>
      <c r="C60" s="472" t="s">
        <v>153</v>
      </c>
      <c r="D60" s="468">
        <f>(D53-D54)/D59</f>
        <v>3520</v>
      </c>
      <c r="E60" s="465" t="s">
        <v>154</v>
      </c>
      <c r="F60" s="623"/>
      <c r="H60" s="307"/>
      <c r="I60" s="298"/>
      <c r="J60" s="298"/>
      <c r="K60" s="308"/>
      <c r="L60" s="5"/>
      <c r="M60" s="5"/>
      <c r="N60" s="523"/>
      <c r="O60" s="5"/>
      <c r="P60" s="5"/>
      <c r="Q60" s="746"/>
      <c r="R60" s="523"/>
    </row>
    <row r="61" spans="2:20" ht="19" x14ac:dyDescent="0.25">
      <c r="B61" s="622" t="s">
        <v>615</v>
      </c>
      <c r="C61" s="472" t="s">
        <v>155</v>
      </c>
      <c r="D61" s="472">
        <f>D18</f>
        <v>1.44</v>
      </c>
      <c r="E61" s="472" t="s">
        <v>156</v>
      </c>
      <c r="F61" s="623"/>
      <c r="H61" s="307"/>
      <c r="I61" s="298"/>
      <c r="J61" s="298"/>
      <c r="K61" s="308"/>
      <c r="L61" s="5"/>
      <c r="M61" s="5"/>
      <c r="N61" s="322"/>
      <c r="R61" s="5"/>
    </row>
    <row r="62" spans="2:20" x14ac:dyDescent="0.2">
      <c r="B62" s="622" t="s">
        <v>616</v>
      </c>
      <c r="C62" s="472"/>
      <c r="D62" s="468">
        <f>D60*D61</f>
        <v>5068.8</v>
      </c>
      <c r="E62" s="472" t="s">
        <v>1</v>
      </c>
      <c r="F62" s="623"/>
      <c r="H62" s="307"/>
      <c r="I62" s="298"/>
      <c r="J62" s="298"/>
      <c r="K62" s="308"/>
      <c r="L62" s="5"/>
      <c r="M62" s="5"/>
      <c r="N62" s="5"/>
      <c r="O62" s="5"/>
      <c r="P62" s="5"/>
      <c r="Q62" s="5"/>
      <c r="R62" s="5"/>
    </row>
    <row r="63" spans="2:20" ht="19" x14ac:dyDescent="0.25">
      <c r="B63" s="622"/>
      <c r="C63" s="465"/>
      <c r="D63" s="465"/>
      <c r="E63" s="465"/>
      <c r="F63" s="623"/>
      <c r="H63" s="314">
        <f>D53</f>
        <v>725</v>
      </c>
      <c r="I63" s="315" t="s">
        <v>7</v>
      </c>
      <c r="J63" s="298"/>
      <c r="K63" s="747">
        <f>D64</f>
        <v>725</v>
      </c>
      <c r="L63" s="316" t="s">
        <v>7</v>
      </c>
      <c r="M63" s="323"/>
      <c r="N63" s="523">
        <f>D54</f>
        <v>21</v>
      </c>
      <c r="O63" s="323" t="s">
        <v>7</v>
      </c>
      <c r="R63" s="5"/>
      <c r="S63" s="5"/>
      <c r="T63" s="5"/>
    </row>
    <row r="64" spans="2:20" ht="16" thickBot="1" x14ac:dyDescent="0.25">
      <c r="B64" s="636" t="s">
        <v>623</v>
      </c>
      <c r="C64" s="637"/>
      <c r="D64" s="748">
        <f>(D60*D57)+D54</f>
        <v>725</v>
      </c>
      <c r="E64" s="637" t="s">
        <v>7</v>
      </c>
      <c r="F64" s="639"/>
      <c r="H64" s="320"/>
      <c r="I64" s="299"/>
      <c r="J64" s="299"/>
      <c r="K64" s="321"/>
      <c r="L64" s="5"/>
      <c r="M64" s="5"/>
      <c r="N64" s="5"/>
      <c r="O64" s="5"/>
      <c r="P64" s="5"/>
      <c r="Q64" s="5"/>
      <c r="R64" s="5"/>
      <c r="S64" s="5"/>
      <c r="T64" s="5"/>
    </row>
    <row r="65" spans="19:20" x14ac:dyDescent="0.2">
      <c r="S65" s="5"/>
      <c r="T65" s="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X71"/>
  <sheetViews>
    <sheetView zoomScale="75" zoomScaleNormal="75" workbookViewId="0">
      <selection activeCell="D45" sqref="D45"/>
    </sheetView>
  </sheetViews>
  <sheetFormatPr baseColWidth="10" defaultColWidth="8.83203125" defaultRowHeight="15" x14ac:dyDescent="0.2"/>
  <cols>
    <col min="1" max="1" width="1.5" customWidth="1"/>
    <col min="2" max="2" width="25.5" customWidth="1"/>
    <col min="3" max="3" width="20.5" customWidth="1"/>
    <col min="4" max="4" width="11.1640625" customWidth="1"/>
    <col min="6" max="6" width="11.1640625" customWidth="1"/>
    <col min="7" max="7" width="10.6640625" customWidth="1"/>
    <col min="8" max="8" width="11.5" customWidth="1"/>
    <col min="9" max="9" width="10" customWidth="1"/>
    <col min="10" max="10" width="10.6640625" customWidth="1"/>
    <col min="11" max="11" width="10.5" customWidth="1"/>
    <col min="12" max="12" width="11.83203125" customWidth="1"/>
    <col min="13" max="13" width="11.1640625" customWidth="1"/>
    <col min="14" max="14" width="13.83203125" customWidth="1"/>
    <col min="15" max="15" width="11.33203125" customWidth="1"/>
    <col min="16" max="16" width="10.5" customWidth="1"/>
    <col min="17" max="17" width="11.33203125" customWidth="1"/>
  </cols>
  <sheetData>
    <row r="1" spans="2:24" ht="9" customHeight="1" thickBot="1" x14ac:dyDescent="0.25"/>
    <row r="2" spans="2:24" ht="18" customHeight="1" thickBot="1" x14ac:dyDescent="0.25">
      <c r="B2" s="826" t="s">
        <v>516</v>
      </c>
      <c r="C2" s="827"/>
      <c r="D2" s="827"/>
      <c r="E2" s="828"/>
      <c r="F2" s="833" t="s">
        <v>78</v>
      </c>
      <c r="G2" s="834"/>
      <c r="H2" s="834"/>
      <c r="I2" s="834"/>
      <c r="J2" s="834"/>
      <c r="K2" s="835"/>
      <c r="L2" s="833" t="s">
        <v>119</v>
      </c>
      <c r="M2" s="834"/>
      <c r="N2" s="834"/>
      <c r="O2" s="834"/>
      <c r="P2" s="834"/>
      <c r="Q2" s="835"/>
      <c r="T2" s="551" t="s">
        <v>481</v>
      </c>
      <c r="U2" s="552"/>
      <c r="V2" s="552"/>
      <c r="W2" s="578" t="s">
        <v>397</v>
      </c>
      <c r="X2" s="550"/>
    </row>
    <row r="3" spans="2:24" ht="16" thickBot="1" x14ac:dyDescent="0.25">
      <c r="B3" s="829"/>
      <c r="C3" s="830"/>
      <c r="D3" s="830"/>
      <c r="E3" s="831"/>
      <c r="F3" s="836"/>
      <c r="G3" s="837"/>
      <c r="H3" s="837"/>
      <c r="I3" s="837"/>
      <c r="J3" s="837"/>
      <c r="K3" s="838"/>
      <c r="L3" s="836"/>
      <c r="M3" s="837"/>
      <c r="N3" s="837"/>
      <c r="O3" s="837"/>
      <c r="P3" s="837"/>
      <c r="Q3" s="838"/>
      <c r="T3" s="581" t="s">
        <v>120</v>
      </c>
      <c r="U3" s="582"/>
      <c r="V3" s="583"/>
      <c r="W3" s="587">
        <f>'Input-Results'!AE3</f>
        <v>45.870188707524257</v>
      </c>
      <c r="X3" s="588" t="s">
        <v>1</v>
      </c>
    </row>
    <row r="4" spans="2:24" ht="16" thickBot="1" x14ac:dyDescent="0.25">
      <c r="B4" s="206"/>
      <c r="C4" s="207"/>
      <c r="D4" s="207" t="s">
        <v>98</v>
      </c>
      <c r="E4" s="208"/>
      <c r="F4" s="702" t="s">
        <v>557</v>
      </c>
      <c r="G4" s="703" t="s">
        <v>558</v>
      </c>
      <c r="H4" s="703" t="s">
        <v>559</v>
      </c>
      <c r="I4" s="703" t="s">
        <v>571</v>
      </c>
      <c r="J4" s="704" t="s">
        <v>572</v>
      </c>
      <c r="K4" s="705" t="s">
        <v>573</v>
      </c>
      <c r="L4" s="430" t="s">
        <v>557</v>
      </c>
      <c r="M4" s="431" t="s">
        <v>558</v>
      </c>
      <c r="N4" s="431" t="s">
        <v>559</v>
      </c>
      <c r="O4" s="431" t="s">
        <v>170</v>
      </c>
      <c r="P4" s="510" t="s">
        <v>572</v>
      </c>
      <c r="Q4" s="432" t="s">
        <v>573</v>
      </c>
      <c r="T4" s="557" t="s">
        <v>121</v>
      </c>
      <c r="U4" s="558"/>
      <c r="V4" s="559"/>
      <c r="W4" s="587">
        <f>'Input-Results'!AE4</f>
        <v>35.380889831784287</v>
      </c>
      <c r="X4" s="575" t="s">
        <v>1</v>
      </c>
    </row>
    <row r="5" spans="2:24" ht="16" thickBot="1" x14ac:dyDescent="0.25">
      <c r="B5" s="96" t="s">
        <v>66</v>
      </c>
      <c r="C5" s="93" t="s">
        <v>66</v>
      </c>
      <c r="D5" s="98">
        <v>28.97</v>
      </c>
      <c r="E5" s="97" t="s">
        <v>70</v>
      </c>
      <c r="F5" s="352"/>
      <c r="G5" s="146"/>
      <c r="H5" s="93"/>
      <c r="I5" s="93"/>
      <c r="J5" s="203"/>
      <c r="K5" s="97"/>
      <c r="L5" s="265"/>
      <c r="M5" s="146"/>
      <c r="N5" s="93"/>
      <c r="O5" s="94"/>
      <c r="P5" s="717"/>
      <c r="Q5" s="97"/>
      <c r="T5" s="562" t="s">
        <v>482</v>
      </c>
      <c r="U5" s="563"/>
      <c r="V5" s="564"/>
      <c r="W5" s="587">
        <f>'Input-Results'!AE5</f>
        <v>6.7377885613438453</v>
      </c>
      <c r="X5" s="575" t="s">
        <v>1</v>
      </c>
    </row>
    <row r="6" spans="2:24" ht="16" thickBot="1" x14ac:dyDescent="0.25">
      <c r="B6" s="336" t="s">
        <v>73</v>
      </c>
      <c r="C6" s="282" t="s">
        <v>67</v>
      </c>
      <c r="D6" s="706">
        <v>31.998799999999999</v>
      </c>
      <c r="E6" s="283" t="s">
        <v>70</v>
      </c>
      <c r="F6" s="352"/>
      <c r="G6" s="146"/>
      <c r="H6" s="93"/>
      <c r="I6" s="93"/>
      <c r="J6" s="203"/>
      <c r="K6" s="97"/>
      <c r="L6" s="265"/>
      <c r="M6" s="146"/>
      <c r="N6" s="93"/>
      <c r="O6" s="94"/>
      <c r="P6" s="717"/>
      <c r="Q6" s="97"/>
      <c r="T6" s="565" t="s">
        <v>122</v>
      </c>
      <c r="U6" s="566"/>
      <c r="V6" s="567"/>
      <c r="W6" s="587">
        <f>'Input-Results'!AE6</f>
        <v>8.1798302520957265</v>
      </c>
      <c r="X6" s="575" t="s">
        <v>1</v>
      </c>
    </row>
    <row r="7" spans="2:24" ht="16" thickBot="1" x14ac:dyDescent="0.25">
      <c r="B7" s="96" t="s">
        <v>503</v>
      </c>
      <c r="C7" s="93" t="s">
        <v>68</v>
      </c>
      <c r="D7" s="98">
        <v>18.015280000000001</v>
      </c>
      <c r="E7" s="97" t="s">
        <v>70</v>
      </c>
      <c r="F7" s="352">
        <f>L7/D7</f>
        <v>27.754217530895993</v>
      </c>
      <c r="G7" s="146">
        <f>(((100-'Input-Results'!D17)/100)*'Input-Results'!G7)</f>
        <v>0.15839999999999999</v>
      </c>
      <c r="H7" s="94">
        <f>N7/D7</f>
        <v>27.754217530895993</v>
      </c>
      <c r="I7" s="94">
        <f>'Input-Results'!H7</f>
        <v>0.88</v>
      </c>
      <c r="J7" s="717">
        <f>P7/D7</f>
        <v>27.754217530895993</v>
      </c>
      <c r="K7" s="718">
        <f>Q7/D7</f>
        <v>27.754217530895993</v>
      </c>
      <c r="L7" s="724">
        <v>500</v>
      </c>
      <c r="M7" s="146">
        <f>G7*$D7</f>
        <v>2.8536203519999996</v>
      </c>
      <c r="N7" s="312">
        <v>500</v>
      </c>
      <c r="O7" s="94">
        <f>'Input-Results'!Q7</f>
        <v>15.853446400000001</v>
      </c>
      <c r="P7" s="725">
        <v>500</v>
      </c>
      <c r="Q7" s="726">
        <v>500</v>
      </c>
      <c r="T7" s="553" t="s">
        <v>132</v>
      </c>
      <c r="U7" s="554"/>
      <c r="V7" s="555"/>
      <c r="W7" s="587">
        <f>'Input-Results'!AE7</f>
        <v>5.8294443533333338</v>
      </c>
      <c r="X7" s="575" t="s">
        <v>1</v>
      </c>
    </row>
    <row r="8" spans="2:24" ht="16" thickBot="1" x14ac:dyDescent="0.25">
      <c r="B8" s="96" t="s">
        <v>74</v>
      </c>
      <c r="C8" s="93" t="s">
        <v>69</v>
      </c>
      <c r="D8" s="98">
        <v>2.0158800000000001</v>
      </c>
      <c r="E8" s="97" t="s">
        <v>70</v>
      </c>
      <c r="F8" s="352"/>
      <c r="G8" s="146">
        <f>((100-'Input-Results'!D17)/100)*'Input-Results'!G8</f>
        <v>0.71719999999999995</v>
      </c>
      <c r="H8" s="94"/>
      <c r="I8" s="93"/>
      <c r="J8" s="203"/>
      <c r="K8" s="97"/>
      <c r="L8" s="265"/>
      <c r="M8" s="146">
        <f>G8*$D8</f>
        <v>1.4457891359999999</v>
      </c>
      <c r="N8" s="94"/>
      <c r="O8" s="94"/>
      <c r="P8" s="717"/>
      <c r="Q8" s="720"/>
      <c r="T8" s="557" t="s">
        <v>483</v>
      </c>
      <c r="U8" s="558"/>
      <c r="V8" s="559"/>
      <c r="W8" s="587">
        <f>'Input-Results'!AE8</f>
        <v>-1.4508301156627068</v>
      </c>
      <c r="X8" s="575" t="s">
        <v>1</v>
      </c>
    </row>
    <row r="9" spans="2:24" ht="16" thickBot="1" x14ac:dyDescent="0.25">
      <c r="B9" s="96" t="s">
        <v>75</v>
      </c>
      <c r="C9" s="93" t="s">
        <v>72</v>
      </c>
      <c r="D9" s="98">
        <v>44.01</v>
      </c>
      <c r="E9" s="97" t="s">
        <v>70</v>
      </c>
      <c r="F9" s="96"/>
      <c r="G9" s="57"/>
      <c r="H9" s="93"/>
      <c r="I9" s="93"/>
      <c r="J9" s="203"/>
      <c r="K9" s="97"/>
      <c r="L9" s="266"/>
      <c r="M9" s="57"/>
      <c r="N9" s="93"/>
      <c r="O9" s="93"/>
      <c r="P9" s="717"/>
      <c r="Q9" s="720"/>
      <c r="T9" s="557" t="s">
        <v>484</v>
      </c>
      <c r="U9" s="558"/>
      <c r="V9" s="559"/>
      <c r="W9" s="587">
        <f>'Input-Results'!AE9</f>
        <v>44.286495239423758</v>
      </c>
      <c r="X9" s="575" t="s">
        <v>1</v>
      </c>
    </row>
    <row r="10" spans="2:24" ht="16" thickBot="1" x14ac:dyDescent="0.25">
      <c r="B10" s="96" t="s">
        <v>76</v>
      </c>
      <c r="C10" s="93" t="s">
        <v>71</v>
      </c>
      <c r="D10" s="98">
        <v>16.04</v>
      </c>
      <c r="E10" s="97" t="s">
        <v>70</v>
      </c>
      <c r="F10" s="96"/>
      <c r="G10" s="57"/>
      <c r="H10" s="93"/>
      <c r="I10" s="93"/>
      <c r="J10" s="203"/>
      <c r="K10" s="97"/>
      <c r="L10" s="266"/>
      <c r="M10" s="57"/>
      <c r="N10" s="93"/>
      <c r="O10" s="93"/>
      <c r="P10" s="717"/>
      <c r="Q10" s="720"/>
      <c r="T10" s="562" t="s">
        <v>486</v>
      </c>
      <c r="U10" s="563"/>
      <c r="V10" s="564"/>
      <c r="W10" s="587">
        <f>'Input-Results'!AE10</f>
        <v>0.8078025974025973</v>
      </c>
      <c r="X10" s="575" t="s">
        <v>1</v>
      </c>
    </row>
    <row r="11" spans="2:24" ht="16" thickBot="1" x14ac:dyDescent="0.25">
      <c r="B11" s="96"/>
      <c r="C11" s="93"/>
      <c r="D11" s="98"/>
      <c r="E11" s="97"/>
      <c r="F11" s="96"/>
      <c r="G11" s="57"/>
      <c r="H11" s="93"/>
      <c r="I11" s="93"/>
      <c r="J11" s="203"/>
      <c r="K11" s="97"/>
      <c r="L11" s="266"/>
      <c r="M11" s="57"/>
      <c r="N11" s="93"/>
      <c r="O11" s="93"/>
      <c r="P11" s="717"/>
      <c r="Q11" s="720"/>
      <c r="T11" s="590" t="s">
        <v>226</v>
      </c>
      <c r="U11" s="591"/>
      <c r="V11" s="592"/>
      <c r="W11" s="707">
        <f>'Input-Results'!AE11</f>
        <v>0.94979758876444453</v>
      </c>
      <c r="X11" s="596" t="s">
        <v>1</v>
      </c>
    </row>
    <row r="12" spans="2:24" ht="17" thickTop="1" thickBot="1" x14ac:dyDescent="0.25">
      <c r="B12" s="354"/>
      <c r="C12" s="355"/>
      <c r="D12" s="384"/>
      <c r="E12" s="385"/>
      <c r="F12" s="354"/>
      <c r="G12" s="149"/>
      <c r="H12" s="355"/>
      <c r="I12" s="355"/>
      <c r="J12" s="716"/>
      <c r="K12" s="385"/>
      <c r="L12" s="354"/>
      <c r="M12" s="149"/>
      <c r="N12" s="355"/>
      <c r="O12" s="355"/>
      <c r="P12" s="716"/>
      <c r="Q12" s="385"/>
      <c r="T12" s="565" t="s">
        <v>227</v>
      </c>
      <c r="U12" s="566"/>
      <c r="V12" s="567"/>
      <c r="W12" s="573">
        <f>'Input-Results'!AE12</f>
        <v>146.59140701600955</v>
      </c>
      <c r="X12" s="574" t="s">
        <v>1</v>
      </c>
    </row>
    <row r="13" spans="2:24" ht="16" thickBot="1" x14ac:dyDescent="0.25">
      <c r="B13" s="350" t="s">
        <v>97</v>
      </c>
      <c r="C13" s="351"/>
      <c r="D13" s="351"/>
      <c r="E13" s="351"/>
      <c r="F13" s="332"/>
      <c r="G13" s="332"/>
      <c r="H13" s="332"/>
      <c r="I13" s="332"/>
      <c r="J13" s="332"/>
      <c r="K13" s="719"/>
      <c r="L13" s="721">
        <v>3</v>
      </c>
      <c r="M13" s="492">
        <f>'Input-Results'!R12</f>
        <v>1.0149999999999999</v>
      </c>
      <c r="N13" s="722">
        <v>3</v>
      </c>
      <c r="O13" s="602">
        <f>'Input-Results'!D23</f>
        <v>27.96</v>
      </c>
      <c r="P13" s="601">
        <v>3</v>
      </c>
      <c r="Q13" s="737">
        <v>2.5</v>
      </c>
      <c r="T13" s="570" t="s">
        <v>395</v>
      </c>
      <c r="U13" s="571"/>
      <c r="V13" s="571"/>
      <c r="W13" s="587">
        <f>'Input-Results'!AE13</f>
        <v>95.113619766133013</v>
      </c>
      <c r="X13" s="576" t="s">
        <v>77</v>
      </c>
    </row>
    <row r="14" spans="2:24" ht="16" thickBot="1" x14ac:dyDescent="0.25"/>
    <row r="15" spans="2:24" ht="21" x14ac:dyDescent="0.25">
      <c r="B15" s="251" t="s">
        <v>112</v>
      </c>
      <c r="C15" s="204"/>
      <c r="D15" s="204"/>
      <c r="E15" s="205"/>
      <c r="F15" s="727" t="s">
        <v>574</v>
      </c>
      <c r="H15" s="2"/>
      <c r="I15" s="2"/>
      <c r="J15" s="2"/>
      <c r="K15" s="2"/>
      <c r="L15" s="2"/>
      <c r="M15" s="2"/>
      <c r="N15" s="2"/>
      <c r="O15" s="713" t="s">
        <v>575</v>
      </c>
      <c r="Q15" s="2"/>
    </row>
    <row r="16" spans="2:24" ht="17" x14ac:dyDescent="0.25">
      <c r="B16" s="212" t="s">
        <v>502</v>
      </c>
      <c r="C16" s="210" t="s">
        <v>174</v>
      </c>
      <c r="D16" s="54">
        <v>21</v>
      </c>
      <c r="E16" s="211" t="s">
        <v>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" thickBot="1" x14ac:dyDescent="0.25">
      <c r="B17" s="255" t="s">
        <v>288</v>
      </c>
      <c r="C17" s="256"/>
      <c r="D17" s="88">
        <v>15</v>
      </c>
      <c r="E17" s="257" t="s">
        <v>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 customHeight="1" thickBot="1" x14ac:dyDescent="0.25">
      <c r="B18" s="5"/>
      <c r="C18" s="5"/>
      <c r="D18" s="5"/>
      <c r="E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">
      <c r="B19" s="251" t="s">
        <v>171</v>
      </c>
      <c r="C19" s="204"/>
      <c r="D19" s="258"/>
      <c r="E19" s="25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">
      <c r="B20" s="328" t="s">
        <v>440</v>
      </c>
      <c r="C20" s="209"/>
      <c r="D20" s="267">
        <v>1</v>
      </c>
      <c r="E20" s="2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">
      <c r="B21" s="328" t="s">
        <v>439</v>
      </c>
      <c r="C21" s="209"/>
      <c r="D21" s="267">
        <v>1</v>
      </c>
      <c r="E21" s="2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">
      <c r="B22" s="329" t="s">
        <v>173</v>
      </c>
      <c r="C22" s="326"/>
      <c r="D22" s="267">
        <v>1</v>
      </c>
      <c r="E22" s="2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">
      <c r="B23" s="328" t="s">
        <v>441</v>
      </c>
      <c r="C23" s="209"/>
      <c r="D23" s="267">
        <v>1</v>
      </c>
      <c r="E23" s="25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6" thickBot="1" x14ac:dyDescent="0.25">
      <c r="B24" s="597" t="s">
        <v>442</v>
      </c>
      <c r="C24" s="598"/>
      <c r="D24" s="599">
        <v>1</v>
      </c>
      <c r="E24" s="60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7" thickTop="1" thickBot="1" x14ac:dyDescent="0.25">
      <c r="B25" s="331" t="s">
        <v>472</v>
      </c>
      <c r="C25" s="332"/>
      <c r="D25" s="517">
        <f>SUM(D20:D24)</f>
        <v>5</v>
      </c>
      <c r="E25" s="49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1" x14ac:dyDescent="0.25">
      <c r="B26" s="251" t="s">
        <v>172</v>
      </c>
      <c r="C26" s="204"/>
      <c r="D26" s="204"/>
      <c r="E26" s="205"/>
      <c r="F26" s="713" t="s">
        <v>576</v>
      </c>
      <c r="H26" s="2"/>
      <c r="I26" s="2"/>
      <c r="J26" s="2"/>
      <c r="K26" s="2"/>
      <c r="L26" s="2"/>
      <c r="M26" s="2"/>
      <c r="N26" s="2"/>
      <c r="O26" s="713" t="s">
        <v>578</v>
      </c>
      <c r="Q26" s="2"/>
    </row>
    <row r="27" spans="2:17" x14ac:dyDescent="0.2">
      <c r="B27" s="329" t="s">
        <v>440</v>
      </c>
      <c r="C27" s="326"/>
      <c r="D27" s="456">
        <v>0.65</v>
      </c>
      <c r="E27" s="254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">
      <c r="B28" s="212" t="s">
        <v>439</v>
      </c>
      <c r="C28" s="210"/>
      <c r="D28" s="54">
        <v>0.8</v>
      </c>
      <c r="E28" s="2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">
      <c r="B29" s="212" t="s">
        <v>173</v>
      </c>
      <c r="C29" s="210"/>
      <c r="D29" s="54">
        <v>0.8</v>
      </c>
      <c r="E29" s="2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x14ac:dyDescent="0.2">
      <c r="B30" s="212" t="s">
        <v>441</v>
      </c>
      <c r="C30" s="210"/>
      <c r="D30" s="54">
        <v>0.8</v>
      </c>
      <c r="E30" s="2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6" thickBot="1" x14ac:dyDescent="0.25">
      <c r="B31" s="255" t="s">
        <v>450</v>
      </c>
      <c r="C31" s="256"/>
      <c r="D31" s="88">
        <v>0.8</v>
      </c>
      <c r="E31" s="25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6" thickBot="1" x14ac:dyDescent="0.2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2">
      <c r="B33" s="530" t="s">
        <v>187</v>
      </c>
      <c r="C33" s="531"/>
      <c r="D33" s="531"/>
      <c r="E33" s="5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x14ac:dyDescent="0.2">
      <c r="B34" s="212" t="s">
        <v>400</v>
      </c>
      <c r="C34" s="376" t="str">
        <f>IF('CON1.1'!D26&lt;'CON1.1'!D27,"YES","NO")</f>
        <v>NO</v>
      </c>
      <c r="D34" s="210" t="s">
        <v>445</v>
      </c>
      <c r="E34" s="501" t="str">
        <f>IF('CON1.1'!H26&lt;'CON1.1'!H27,"YES","NO")</f>
        <v>NO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x14ac:dyDescent="0.2">
      <c r="B35" s="212" t="s">
        <v>443</v>
      </c>
      <c r="C35" s="376" t="str">
        <f>IF('CON1.2'!D26&lt;'CON1.2'!D27,"YES","NO")</f>
        <v>NO</v>
      </c>
      <c r="D35" s="210" t="s">
        <v>444</v>
      </c>
      <c r="E35" s="501" t="str">
        <f>IF('CON1.2'!H26&lt;'CON1.2'!H27,"YES","NO")</f>
        <v>YES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9" x14ac:dyDescent="0.2">
      <c r="B36" s="502" t="s">
        <v>189</v>
      </c>
      <c r="C36" s="376" t="str">
        <f>IF('CON2'!D26&lt;'CON2'!D27,"YES","NO")</f>
        <v>NO</v>
      </c>
      <c r="D36" s="377" t="s">
        <v>190</v>
      </c>
      <c r="E36" s="503" t="str">
        <f>IF('CON2'!H26&lt;'CON2'!H27,"YES","NO")</f>
        <v>YES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9" x14ac:dyDescent="0.2">
      <c r="B37" s="212" t="s">
        <v>446</v>
      </c>
      <c r="C37" s="376" t="str">
        <f>IF('CON3'!D26&lt;'CON3'!D27,"YES","NO")</f>
        <v>NO</v>
      </c>
      <c r="D37" s="386" t="s">
        <v>447</v>
      </c>
      <c r="E37" s="503" t="str">
        <f>IF('CON3'!H26&lt;'CON3'!H27,"YES","NO")</f>
        <v>YES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9" ht="22" thickBot="1" x14ac:dyDescent="0.3">
      <c r="B38" s="255" t="s">
        <v>448</v>
      </c>
      <c r="C38" s="518" t="str">
        <f>IF('CON4'!D26&lt;'CON4'!D27,"YES","NO")</f>
        <v>NO</v>
      </c>
      <c r="D38" s="519" t="s">
        <v>449</v>
      </c>
      <c r="E38" s="520" t="str">
        <f>IF('CON4'!H26&lt;'CON4'!H27,"YES","NO")</f>
        <v>YES</v>
      </c>
      <c r="F38" s="713" t="s">
        <v>577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9" ht="14.5" customHeight="1" x14ac:dyDescent="0.2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713"/>
    </row>
    <row r="40" spans="2:19" x14ac:dyDescent="0.2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9" x14ac:dyDescent="0.2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9" x14ac:dyDescent="0.2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9" x14ac:dyDescent="0.2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9" s="375" customFormat="1" ht="21" x14ac:dyDescent="0.25">
      <c r="G44" s="713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9" x14ac:dyDescent="0.2">
      <c r="B45" s="714" t="s">
        <v>204</v>
      </c>
      <c r="C45" s="714"/>
      <c r="D45" s="807">
        <f>('CON1.1'!P39+'CON1.2'!P39+'CON2'!P39+'CON3'!P39+'CON4'!P39)*D7</f>
        <v>9.1769836319999989</v>
      </c>
      <c r="E45" s="714" t="s">
        <v>2</v>
      </c>
      <c r="F45" s="343"/>
      <c r="G45" s="2"/>
      <c r="H45" s="2"/>
      <c r="I45" s="2"/>
      <c r="J45" s="2"/>
      <c r="K45" s="2"/>
      <c r="L45" s="2"/>
      <c r="M45" s="2"/>
      <c r="N45" s="2"/>
      <c r="O45" s="2"/>
      <c r="P45" s="832"/>
      <c r="Q45" s="832"/>
    </row>
    <row r="46" spans="2:19" x14ac:dyDescent="0.2">
      <c r="B46" s="714" t="s">
        <v>635</v>
      </c>
      <c r="C46" s="714"/>
      <c r="D46" s="808">
        <f>'CON1.1'!P40+'CON1.2'!P40+'CON2'!P40+'CON3'!P40+'CON4'!P40</f>
        <v>331.11</v>
      </c>
      <c r="E46" s="714" t="s">
        <v>1</v>
      </c>
      <c r="F46" s="343"/>
      <c r="G46" s="2"/>
      <c r="H46" s="2"/>
      <c r="I46" s="2"/>
      <c r="J46" s="2"/>
      <c r="K46" s="2"/>
      <c r="L46" s="2"/>
      <c r="M46" s="2"/>
      <c r="N46" s="2"/>
      <c r="O46" s="2"/>
      <c r="P46" s="708"/>
      <c r="Q46" s="708"/>
    </row>
    <row r="47" spans="2:19" x14ac:dyDescent="0.2">
      <c r="F47" s="343"/>
      <c r="G47" s="2"/>
      <c r="H47" s="2"/>
      <c r="I47" s="2"/>
      <c r="J47" s="2"/>
      <c r="K47" s="2"/>
      <c r="L47" s="2"/>
      <c r="M47" s="2"/>
      <c r="N47" s="2"/>
      <c r="O47" s="2"/>
      <c r="P47" s="708"/>
      <c r="Q47" s="708"/>
    </row>
    <row r="48" spans="2:19" x14ac:dyDescent="0.2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5:17" ht="21" x14ac:dyDescent="0.25">
      <c r="E49" t="s">
        <v>394</v>
      </c>
      <c r="G49" s="713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5:17" x14ac:dyDescent="0.2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5:17" x14ac:dyDescent="0.2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5:17" x14ac:dyDescent="0.2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5:17" x14ac:dyDescent="0.2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5:17" x14ac:dyDescent="0.2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5:17" x14ac:dyDescent="0.2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5:17" x14ac:dyDescent="0.2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5:17" x14ac:dyDescent="0.2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5:17" x14ac:dyDescent="0.2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5:17" x14ac:dyDescent="0.2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5:17" x14ac:dyDescent="0.2"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5:17" x14ac:dyDescent="0.2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5:17" x14ac:dyDescent="0.2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5:17" x14ac:dyDescent="0.2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5:17" x14ac:dyDescent="0.2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6:18" x14ac:dyDescent="0.2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6:18" x14ac:dyDescent="0.2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6:18" x14ac:dyDescent="0.2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6:18" x14ac:dyDescent="0.2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6:18" x14ac:dyDescent="0.2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6:18" x14ac:dyDescent="0.2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6:18" x14ac:dyDescent="0.2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mergeCells count="4">
    <mergeCell ref="B2:E3"/>
    <mergeCell ref="P45:Q45"/>
    <mergeCell ref="F2:K3"/>
    <mergeCell ref="L2:Q3"/>
  </mergeCells>
  <conditionalFormatting sqref="C34:C38 E34:E38">
    <cfRule type="cellIs" dxfId="23" priority="9" operator="equal">
      <formula>"YES"</formula>
    </cfRule>
    <cfRule type="cellIs" dxfId="22" priority="11" operator="equal">
      <formula>"NO"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B1:X43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customHeight="1" x14ac:dyDescent="0.25">
      <c r="C2" s="99" t="s">
        <v>406</v>
      </c>
    </row>
    <row r="3" spans="3:24" ht="6" customHeight="1" thickBot="1" x14ac:dyDescent="0.25"/>
    <row r="4" spans="3:24" x14ac:dyDescent="0.2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32"/>
      <c r="T5" s="33"/>
      <c r="U5" s="127"/>
      <c r="V5" s="127"/>
      <c r="W5" s="33"/>
      <c r="X5" s="35"/>
    </row>
    <row r="6" spans="3:24" x14ac:dyDescent="0.2">
      <c r="C6" s="63" t="s">
        <v>35</v>
      </c>
      <c r="D6" s="53"/>
      <c r="E6" s="152">
        <f>'Input-Results'!O5</f>
        <v>28.97</v>
      </c>
      <c r="F6" s="53" t="s">
        <v>2</v>
      </c>
      <c r="G6" s="57" t="s">
        <v>293</v>
      </c>
      <c r="H6" s="57"/>
      <c r="I6" s="146">
        <f>'Input-Results'!P7</f>
        <v>3.2427503999999998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 x14ac:dyDescent="0.2">
      <c r="C7" s="63"/>
      <c r="D7" s="53"/>
      <c r="E7" s="53"/>
      <c r="F7" s="181"/>
      <c r="G7" s="57" t="s">
        <v>65</v>
      </c>
      <c r="H7" s="57"/>
      <c r="I7" s="146">
        <f>'Input-Results'!P8</f>
        <v>1.6429422</v>
      </c>
      <c r="J7" s="64" t="s">
        <v>2</v>
      </c>
      <c r="L7" s="141" t="s">
        <v>293</v>
      </c>
      <c r="M7" s="146">
        <f>I6</f>
        <v>3.2427503999999998</v>
      </c>
      <c r="N7" s="145" t="s">
        <v>2</v>
      </c>
      <c r="O7" s="142" t="s">
        <v>31</v>
      </c>
      <c r="P7" s="147">
        <f>I14</f>
        <v>725</v>
      </c>
      <c r="Q7" s="64">
        <f>'Input-Results'!P12</f>
        <v>1.02</v>
      </c>
      <c r="S7" s="63" t="s">
        <v>87</v>
      </c>
      <c r="T7" s="53">
        <f>E6</f>
        <v>28.97</v>
      </c>
      <c r="U7" s="131" t="s">
        <v>2</v>
      </c>
      <c r="V7" s="128" t="s">
        <v>31</v>
      </c>
      <c r="W7" s="102">
        <f>E20</f>
        <v>657.55114015409561</v>
      </c>
      <c r="X7" s="122">
        <f>'Input-Results'!O12</f>
        <v>1.03</v>
      </c>
    </row>
    <row r="8" spans="3:24" x14ac:dyDescent="0.2">
      <c r="C8" s="63"/>
      <c r="D8" s="53"/>
      <c r="E8" s="53"/>
      <c r="F8" s="53"/>
      <c r="G8" s="57"/>
      <c r="H8" s="57"/>
      <c r="I8" s="146"/>
      <c r="J8" s="64"/>
      <c r="L8" s="141"/>
      <c r="M8" s="337">
        <f>M7/1000/60</f>
        <v>5.4045839999999993E-5</v>
      </c>
      <c r="N8" s="145" t="s">
        <v>3</v>
      </c>
      <c r="O8" s="142" t="s">
        <v>31</v>
      </c>
      <c r="P8" s="147">
        <f t="shared" ref="P8:Q8" si="0">P7</f>
        <v>725</v>
      </c>
      <c r="Q8" s="64">
        <f t="shared" si="0"/>
        <v>1.02</v>
      </c>
      <c r="S8" s="63"/>
      <c r="T8" s="55">
        <f>T7/1000/60</f>
        <v>4.8283333333333332E-4</v>
      </c>
      <c r="U8" s="131" t="s">
        <v>3</v>
      </c>
      <c r="V8" s="128" t="s">
        <v>31</v>
      </c>
      <c r="W8" s="53">
        <f>W7</f>
        <v>657.55114015409561</v>
      </c>
      <c r="X8" s="122">
        <f>X7</f>
        <v>1.03</v>
      </c>
    </row>
    <row r="9" spans="3:24" x14ac:dyDescent="0.2">
      <c r="C9" s="63"/>
      <c r="D9" s="53"/>
      <c r="E9" s="53"/>
      <c r="F9" s="53"/>
      <c r="G9" s="57"/>
      <c r="H9" s="57"/>
      <c r="I9" s="146"/>
      <c r="J9" s="64"/>
      <c r="L9" s="141" t="s">
        <v>65</v>
      </c>
      <c r="M9" s="146">
        <f>I7</f>
        <v>1.6429422</v>
      </c>
      <c r="N9" s="145" t="s">
        <v>2</v>
      </c>
      <c r="O9" s="142" t="s">
        <v>31</v>
      </c>
      <c r="P9" s="147">
        <f t="shared" ref="P9:Q9" si="1">P8</f>
        <v>725</v>
      </c>
      <c r="Q9" s="64">
        <f t="shared" si="1"/>
        <v>1.02</v>
      </c>
      <c r="S9" s="63"/>
      <c r="T9" s="53"/>
      <c r="U9" s="53"/>
      <c r="V9" s="53"/>
      <c r="W9" s="53"/>
      <c r="X9" s="122"/>
    </row>
    <row r="10" spans="3:24" x14ac:dyDescent="0.2">
      <c r="C10" s="63" t="s">
        <v>46</v>
      </c>
      <c r="D10" s="53"/>
      <c r="E10" s="506">
        <f>E6</f>
        <v>28.97</v>
      </c>
      <c r="F10" s="53" t="s">
        <v>2</v>
      </c>
      <c r="G10" s="109" t="s">
        <v>45</v>
      </c>
      <c r="H10" s="109"/>
      <c r="I10" s="504">
        <f>I6+I7</f>
        <v>4.8856925999999996</v>
      </c>
      <c r="J10" s="64" t="s">
        <v>2</v>
      </c>
      <c r="L10" s="141"/>
      <c r="M10" s="337">
        <f>M9/1000/60</f>
        <v>2.7382369999999999E-5</v>
      </c>
      <c r="N10" s="145" t="s">
        <v>3</v>
      </c>
      <c r="O10" s="142" t="s">
        <v>31</v>
      </c>
      <c r="P10" s="147">
        <f t="shared" ref="P10:Q10" si="2">P9</f>
        <v>725</v>
      </c>
      <c r="Q10" s="64">
        <f t="shared" si="2"/>
        <v>1.02</v>
      </c>
      <c r="S10" s="63"/>
      <c r="T10" s="53"/>
      <c r="U10" s="53"/>
      <c r="V10" s="53"/>
      <c r="W10" s="53"/>
      <c r="X10" s="122"/>
    </row>
    <row r="11" spans="3:24" x14ac:dyDescent="0.2">
      <c r="C11" s="63" t="s">
        <v>46</v>
      </c>
      <c r="D11" s="53"/>
      <c r="E11" s="338">
        <f>E6/1000/60</f>
        <v>4.8283333333333332E-4</v>
      </c>
      <c r="F11" s="53" t="s">
        <v>3</v>
      </c>
      <c r="G11" s="57" t="s">
        <v>46</v>
      </c>
      <c r="H11" s="57"/>
      <c r="I11" s="337">
        <f>I10/1000/60</f>
        <v>8.1428209999999995E-5</v>
      </c>
      <c r="J11" s="64" t="s">
        <v>3</v>
      </c>
      <c r="L11" s="141"/>
      <c r="M11" s="535"/>
      <c r="N11" s="145"/>
      <c r="O11" s="142"/>
      <c r="P11" s="147"/>
      <c r="Q11" s="64"/>
      <c r="S11" s="63"/>
      <c r="T11" s="53"/>
      <c r="U11" s="131"/>
      <c r="V11" s="128"/>
      <c r="W11" s="53"/>
      <c r="X11" s="122"/>
    </row>
    <row r="12" spans="3:24" ht="17" x14ac:dyDescent="0.25">
      <c r="C12" s="63" t="s">
        <v>4</v>
      </c>
      <c r="D12" s="53" t="s">
        <v>11</v>
      </c>
      <c r="E12" s="56">
        <f>'Interpolation 1'!I7</f>
        <v>1006</v>
      </c>
      <c r="F12" s="53" t="s">
        <v>0</v>
      </c>
      <c r="G12" s="57" t="s">
        <v>4</v>
      </c>
      <c r="H12" s="57" t="s">
        <v>12</v>
      </c>
      <c r="I12" s="59">
        <f>'Interpolation 2'!I7</f>
        <v>6553.9858352087085</v>
      </c>
      <c r="J12" s="64" t="s">
        <v>0</v>
      </c>
      <c r="L12" s="141"/>
      <c r="M12" s="535"/>
      <c r="N12" s="145"/>
      <c r="O12" s="142"/>
      <c r="P12" s="147"/>
      <c r="Q12" s="64"/>
      <c r="S12" s="63"/>
      <c r="T12" s="53"/>
      <c r="U12" s="131"/>
      <c r="V12" s="128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0.48573033333333332</v>
      </c>
      <c r="F13" s="53" t="s">
        <v>19</v>
      </c>
      <c r="G13" s="57" t="s">
        <v>5</v>
      </c>
      <c r="H13" s="57" t="s">
        <v>13</v>
      </c>
      <c r="I13" s="58">
        <f>I11*I12</f>
        <v>0.53367933492640007</v>
      </c>
      <c r="J13" s="64" t="s">
        <v>8</v>
      </c>
      <c r="L13" s="141"/>
      <c r="M13" s="535"/>
      <c r="N13" s="145"/>
      <c r="O13" s="142"/>
      <c r="P13" s="147"/>
      <c r="Q13" s="64"/>
      <c r="S13" s="63"/>
      <c r="T13" s="53"/>
      <c r="U13" s="131"/>
      <c r="V13" s="128"/>
      <c r="W13" s="53"/>
      <c r="X13" s="122"/>
    </row>
    <row r="14" spans="3:24" ht="18" thickBot="1" x14ac:dyDescent="0.3">
      <c r="C14" s="86" t="s">
        <v>99</v>
      </c>
      <c r="D14" s="87" t="s">
        <v>16</v>
      </c>
      <c r="E14" s="87">
        <f>'Input-Results'!D18</f>
        <v>21</v>
      </c>
      <c r="F14" s="87" t="s">
        <v>7</v>
      </c>
      <c r="G14" s="149" t="s">
        <v>100</v>
      </c>
      <c r="H14" s="149" t="s">
        <v>17</v>
      </c>
      <c r="I14" s="149">
        <f>'Input-Results'!D21</f>
        <v>725</v>
      </c>
      <c r="J14" s="151" t="s">
        <v>7</v>
      </c>
      <c r="L14" s="141"/>
      <c r="M14" s="535"/>
      <c r="N14" s="145"/>
      <c r="O14" s="142"/>
      <c r="P14" s="147"/>
      <c r="Q14" s="64"/>
      <c r="S14" s="63"/>
      <c r="T14" s="53"/>
      <c r="U14" s="131"/>
      <c r="V14" s="128"/>
      <c r="W14" s="53"/>
      <c r="X14" s="122"/>
    </row>
    <row r="15" spans="3:24" x14ac:dyDescent="0.2">
      <c r="C15" s="83" t="s">
        <v>59</v>
      </c>
      <c r="D15" s="84" t="s">
        <v>15</v>
      </c>
      <c r="E15" s="260">
        <f>'Input-Results'!D42</f>
        <v>0.8</v>
      </c>
      <c r="F15" s="260"/>
      <c r="G15" s="450"/>
      <c r="H15" s="450"/>
      <c r="I15" s="450"/>
      <c r="J15" s="451"/>
      <c r="L15" s="141"/>
      <c r="M15" s="535"/>
      <c r="N15" s="145"/>
      <c r="O15" s="142"/>
      <c r="P15" s="147"/>
      <c r="Q15" s="64"/>
      <c r="S15" s="63"/>
      <c r="T15" s="53"/>
      <c r="U15" s="131"/>
      <c r="V15" s="128"/>
      <c r="W15" s="53"/>
      <c r="X15" s="122"/>
    </row>
    <row r="16" spans="3:24" x14ac:dyDescent="0.2">
      <c r="C16" s="83" t="s">
        <v>52</v>
      </c>
      <c r="D16" s="85" t="s">
        <v>53</v>
      </c>
      <c r="E16" s="260">
        <f>'Input-Results'!D33</f>
        <v>2</v>
      </c>
      <c r="F16" s="61" t="s">
        <v>63</v>
      </c>
      <c r="G16" s="62"/>
      <c r="H16" s="62"/>
      <c r="I16" s="62"/>
      <c r="J16" s="66"/>
      <c r="L16" s="141"/>
      <c r="M16" s="535"/>
      <c r="N16" s="145"/>
      <c r="O16" s="142"/>
      <c r="P16" s="147"/>
      <c r="Q16" s="64"/>
      <c r="S16" s="63"/>
      <c r="T16" s="53"/>
      <c r="U16" s="131"/>
      <c r="V16" s="128"/>
      <c r="W16" s="53"/>
      <c r="X16" s="122"/>
    </row>
    <row r="17" spans="3:24" x14ac:dyDescent="0.2">
      <c r="C17" s="83" t="s">
        <v>56</v>
      </c>
      <c r="D17" s="85" t="s">
        <v>57</v>
      </c>
      <c r="E17" s="103">
        <f>MIN(E13,I13)/MAX(E13:I13)</f>
        <v>0.9101539099323015</v>
      </c>
      <c r="F17" s="61"/>
      <c r="G17" s="62"/>
      <c r="H17" s="62"/>
      <c r="I17" s="62"/>
      <c r="J17" s="66"/>
      <c r="L17" s="141" t="s">
        <v>164</v>
      </c>
      <c r="M17" s="146">
        <f>(1/461.52)*(100000*Q17/(P17+273))</f>
        <v>0.22145174384129673</v>
      </c>
      <c r="N17" s="145" t="s">
        <v>23</v>
      </c>
      <c r="O17" s="142" t="s">
        <v>31</v>
      </c>
      <c r="P17" s="147">
        <f>P7</f>
        <v>725</v>
      </c>
      <c r="Q17" s="64">
        <f>Q7</f>
        <v>1.02</v>
      </c>
      <c r="S17" s="63" t="s">
        <v>89</v>
      </c>
      <c r="T17" s="152">
        <f>0.0034*(100000*X17/(W17+273))</f>
        <v>0.37633611403883532</v>
      </c>
      <c r="U17" s="131" t="s">
        <v>23</v>
      </c>
      <c r="V17" s="128" t="s">
        <v>31</v>
      </c>
      <c r="W17" s="53">
        <f>W7</f>
        <v>657.55114015409561</v>
      </c>
      <c r="X17" s="122">
        <f>X7</f>
        <v>1.03</v>
      </c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0.90419196044615846</v>
      </c>
      <c r="F18" s="61" t="s">
        <v>60</v>
      </c>
      <c r="G18" s="62"/>
      <c r="H18" s="62"/>
      <c r="I18" s="62"/>
      <c r="J18" s="66"/>
      <c r="L18" s="141" t="s">
        <v>91</v>
      </c>
      <c r="M18" s="146">
        <f>(1/4124.2)*(100000*Q18/(P18+273))</f>
        <v>2.4781632514823546E-2</v>
      </c>
      <c r="N18" s="145" t="s">
        <v>23</v>
      </c>
      <c r="O18" s="142" t="s">
        <v>31</v>
      </c>
      <c r="P18" s="147">
        <f>P7</f>
        <v>725</v>
      </c>
      <c r="Q18" s="64">
        <f t="shared" ref="Q18" si="3">Q17</f>
        <v>1.02</v>
      </c>
      <c r="S18" s="63"/>
      <c r="T18" s="53"/>
      <c r="U18" s="53"/>
      <c r="V18" s="53"/>
      <c r="W18" s="53"/>
      <c r="X18" s="122"/>
    </row>
    <row r="19" spans="3:24" ht="17" x14ac:dyDescent="0.25">
      <c r="C19" s="65" t="s">
        <v>14</v>
      </c>
      <c r="D19" s="60" t="s">
        <v>18</v>
      </c>
      <c r="E19" s="105">
        <f>E18*MIN(E13,I13)*(I14-E14)</f>
        <v>309.19219749076223</v>
      </c>
      <c r="F19" s="61" t="s">
        <v>1</v>
      </c>
      <c r="G19" s="62" t="s">
        <v>22</v>
      </c>
      <c r="H19" s="62"/>
      <c r="I19" s="62"/>
      <c r="J19" s="66"/>
      <c r="L19" s="141" t="s">
        <v>631</v>
      </c>
      <c r="M19" s="146">
        <f>1/(((M7/I10)/M17)+((M9/I10)/M18))</f>
        <v>6.0361966873661951E-2</v>
      </c>
      <c r="N19" s="145" t="s">
        <v>23</v>
      </c>
      <c r="O19" s="142" t="s">
        <v>31</v>
      </c>
      <c r="P19" s="147">
        <f>P9</f>
        <v>725</v>
      </c>
      <c r="Q19" s="64">
        <f>Q9</f>
        <v>1.02</v>
      </c>
      <c r="S19" s="63"/>
      <c r="T19" s="53"/>
      <c r="U19" s="53"/>
      <c r="V19" s="53"/>
      <c r="W19" s="53"/>
      <c r="X19" s="122"/>
    </row>
    <row r="20" spans="3:24" ht="18" thickBot="1" x14ac:dyDescent="0.3">
      <c r="C20" s="86" t="s">
        <v>64</v>
      </c>
      <c r="D20" s="87" t="s">
        <v>20</v>
      </c>
      <c r="E20" s="165">
        <f>E14+E19/E13</f>
        <v>657.55114015409561</v>
      </c>
      <c r="F20" s="169" t="s">
        <v>7</v>
      </c>
      <c r="G20" s="170" t="s">
        <v>58</v>
      </c>
      <c r="H20" s="170" t="s">
        <v>21</v>
      </c>
      <c r="I20" s="171">
        <f>I14-E19/I13</f>
        <v>145.64049091688548</v>
      </c>
      <c r="J20" s="172" t="s">
        <v>7</v>
      </c>
      <c r="L20" s="141"/>
      <c r="M20" s="146"/>
      <c r="N20" s="145"/>
      <c r="O20" s="142"/>
      <c r="P20" s="147"/>
      <c r="Q20" s="64"/>
      <c r="S20" s="63"/>
      <c r="T20" s="53"/>
      <c r="U20" s="53"/>
      <c r="V20" s="53"/>
      <c r="W20" s="53"/>
      <c r="X20" s="122"/>
    </row>
    <row r="21" spans="3:24" x14ac:dyDescent="0.2">
      <c r="C21" s="268" t="s">
        <v>123</v>
      </c>
      <c r="D21" s="62"/>
      <c r="E21" s="62"/>
      <c r="F21" s="272">
        <f>E20</f>
        <v>657.55114015409561</v>
      </c>
      <c r="G21" s="62" t="s">
        <v>124</v>
      </c>
      <c r="H21" s="62">
        <f>'Input-Results'!D21</f>
        <v>725</v>
      </c>
      <c r="I21" s="62" t="s">
        <v>7</v>
      </c>
      <c r="J21" s="66"/>
      <c r="L21" s="141"/>
      <c r="M21" s="146"/>
      <c r="N21" s="145"/>
      <c r="O21" s="142"/>
      <c r="P21" s="147"/>
      <c r="Q21" s="64"/>
      <c r="S21" s="63"/>
      <c r="T21" s="53"/>
      <c r="U21" s="53"/>
      <c r="V21" s="53"/>
      <c r="W21" s="53"/>
      <c r="X21" s="122"/>
    </row>
    <row r="22" spans="3:24" ht="17" x14ac:dyDescent="0.25">
      <c r="C22" s="65" t="s">
        <v>125</v>
      </c>
      <c r="D22" s="60" t="s">
        <v>126</v>
      </c>
      <c r="E22" s="271">
        <f>'Interpolation 1'!AM7</f>
        <v>1126.8047166292781</v>
      </c>
      <c r="F22" s="61" t="s">
        <v>632</v>
      </c>
      <c r="G22" s="272">
        <f>F21</f>
        <v>657.55114015409561</v>
      </c>
      <c r="H22" s="62" t="s">
        <v>7</v>
      </c>
      <c r="I22" s="62"/>
      <c r="J22" s="66"/>
      <c r="L22" s="141"/>
      <c r="M22" s="146"/>
      <c r="N22" s="145"/>
      <c r="O22" s="142"/>
      <c r="P22" s="147"/>
      <c r="Q22" s="64"/>
      <c r="S22" s="63"/>
      <c r="T22" s="53"/>
      <c r="U22" s="53"/>
      <c r="V22" s="53"/>
      <c r="W22" s="53"/>
      <c r="X22" s="122"/>
    </row>
    <row r="23" spans="3:24" ht="17" x14ac:dyDescent="0.25">
      <c r="C23" s="65" t="s">
        <v>127</v>
      </c>
      <c r="D23" s="60" t="s">
        <v>27</v>
      </c>
      <c r="E23" s="60">
        <f>'Input-Results'!D21</f>
        <v>725</v>
      </c>
      <c r="F23" s="61" t="s">
        <v>7</v>
      </c>
      <c r="G23" s="62"/>
      <c r="H23" s="62"/>
      <c r="I23" s="62"/>
      <c r="J23" s="66"/>
      <c r="L23" s="141" t="s">
        <v>184</v>
      </c>
      <c r="M23" s="147">
        <f>(3600*M8/M17)+(3600*M10/M18)</f>
        <v>4.8563950312213553</v>
      </c>
      <c r="N23" s="145" t="s">
        <v>25</v>
      </c>
      <c r="O23" s="142" t="s">
        <v>31</v>
      </c>
      <c r="P23" s="147">
        <f>P7</f>
        <v>725</v>
      </c>
      <c r="Q23" s="64">
        <f>Q7</f>
        <v>1.02</v>
      </c>
      <c r="S23" s="63" t="s">
        <v>568</v>
      </c>
      <c r="T23" s="102">
        <f>3600*T8/T17</f>
        <v>4.6187435517300086</v>
      </c>
      <c r="U23" s="131" t="s">
        <v>25</v>
      </c>
      <c r="V23" s="128" t="s">
        <v>31</v>
      </c>
      <c r="W23" s="53">
        <f>W7</f>
        <v>657.55114015409561</v>
      </c>
      <c r="X23" s="122">
        <f>X17</f>
        <v>1.03</v>
      </c>
    </row>
    <row r="24" spans="3:24" ht="16" thickBot="1" x14ac:dyDescent="0.25">
      <c r="C24" s="273" t="s">
        <v>624</v>
      </c>
      <c r="D24" s="270" t="s">
        <v>128</v>
      </c>
      <c r="E24" s="274">
        <f>E11*E22*(E23-E20)</f>
        <v>36.69615096601941</v>
      </c>
      <c r="F24" s="275" t="s">
        <v>1</v>
      </c>
      <c r="G24" s="269"/>
      <c r="H24" s="269"/>
      <c r="I24" s="269"/>
      <c r="J24" s="276"/>
      <c r="L24" s="141"/>
      <c r="M24" s="59">
        <f>M23*1000/60</f>
        <v>80.939917187022587</v>
      </c>
      <c r="N24" s="145" t="s">
        <v>49</v>
      </c>
      <c r="O24" s="142" t="s">
        <v>31</v>
      </c>
      <c r="P24" s="147">
        <f>P7</f>
        <v>725</v>
      </c>
      <c r="Q24" s="64">
        <f>Q7</f>
        <v>1.02</v>
      </c>
      <c r="S24" s="63"/>
      <c r="T24" s="56">
        <f>T23*1000/60</f>
        <v>76.979059195500142</v>
      </c>
      <c r="U24" s="131" t="s">
        <v>49</v>
      </c>
      <c r="V24" s="128" t="s">
        <v>31</v>
      </c>
      <c r="W24" s="53">
        <f>W7</f>
        <v>657.55114015409561</v>
      </c>
      <c r="X24" s="122">
        <f>X23</f>
        <v>1.03</v>
      </c>
    </row>
    <row r="25" spans="3:24" ht="16" thickBot="1" x14ac:dyDescent="0.25">
      <c r="C25" s="5"/>
      <c r="D25" s="5"/>
      <c r="E25" s="167"/>
      <c r="F25" s="5"/>
      <c r="G25" s="168"/>
      <c r="H25" s="5"/>
      <c r="I25" s="5"/>
      <c r="J25" s="5"/>
      <c r="L25" s="141"/>
      <c r="M25" s="57"/>
      <c r="N25" s="142"/>
      <c r="O25" s="142"/>
      <c r="P25" s="57"/>
      <c r="Q25" s="64"/>
      <c r="S25" s="63"/>
      <c r="T25" s="56"/>
      <c r="U25" s="131"/>
      <c r="V25" s="128"/>
      <c r="W25" s="53"/>
      <c r="X25" s="122"/>
    </row>
    <row r="26" spans="3:24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K26" s="5"/>
      <c r="L26" s="141" t="s">
        <v>568</v>
      </c>
      <c r="M26" s="147">
        <f>M23*(P26+273)/(I14+273)</f>
        <v>2.0371579157884083</v>
      </c>
      <c r="N26" s="145" t="s">
        <v>25</v>
      </c>
      <c r="O26" s="142" t="s">
        <v>31</v>
      </c>
      <c r="P26" s="147">
        <f>I20</f>
        <v>145.64049091688548</v>
      </c>
      <c r="Q26" s="64">
        <f>Q7</f>
        <v>1.02</v>
      </c>
      <c r="S26" s="63" t="s">
        <v>184</v>
      </c>
      <c r="T26" s="102">
        <f>T23*(W26+273)/(E20+273)</f>
        <v>1.4592541404911479</v>
      </c>
      <c r="U26" s="131" t="s">
        <v>25</v>
      </c>
      <c r="V26" s="128" t="s">
        <v>31</v>
      </c>
      <c r="W26" s="53">
        <f>E14</f>
        <v>21</v>
      </c>
      <c r="X26" s="122">
        <f>X7</f>
        <v>1.03</v>
      </c>
    </row>
    <row r="27" spans="3:24" x14ac:dyDescent="0.2">
      <c r="C27" s="213" t="s">
        <v>179</v>
      </c>
      <c r="D27" s="360">
        <f>I14</f>
        <v>725</v>
      </c>
      <c r="E27" s="371" t="s">
        <v>7</v>
      </c>
      <c r="F27" s="361"/>
      <c r="G27" s="93" t="s">
        <v>180</v>
      </c>
      <c r="H27" s="309">
        <f>I20</f>
        <v>145.64049091688548</v>
      </c>
      <c r="I27" s="374" t="s">
        <v>7</v>
      </c>
      <c r="J27" s="369"/>
      <c r="K27" s="5"/>
      <c r="L27" s="141"/>
      <c r="M27" s="59">
        <f>M26*1000/60</f>
        <v>33.952631929806806</v>
      </c>
      <c r="N27" s="145" t="s">
        <v>49</v>
      </c>
      <c r="O27" s="142" t="s">
        <v>31</v>
      </c>
      <c r="P27" s="147">
        <f>P26</f>
        <v>145.64049091688548</v>
      </c>
      <c r="Q27" s="64">
        <f>Q7</f>
        <v>1.02</v>
      </c>
      <c r="S27" s="63"/>
      <c r="T27" s="56">
        <f>T26*1000/60</f>
        <v>24.32090234151913</v>
      </c>
      <c r="U27" s="131" t="s">
        <v>49</v>
      </c>
      <c r="V27" s="128" t="s">
        <v>31</v>
      </c>
      <c r="W27" s="53">
        <f>W26</f>
        <v>21</v>
      </c>
      <c r="X27" s="122">
        <f>X26</f>
        <v>1.03</v>
      </c>
    </row>
    <row r="28" spans="3:24" x14ac:dyDescent="0.2">
      <c r="C28" s="96" t="s">
        <v>178</v>
      </c>
      <c r="D28" s="335">
        <f>0.01*0.61078*EXP((17.27*D27)/(D27+237.3))</f>
        <v>2732.8121075495928</v>
      </c>
      <c r="E28" s="372" t="s">
        <v>177</v>
      </c>
      <c r="F28" s="359"/>
      <c r="G28" s="93" t="s">
        <v>178</v>
      </c>
      <c r="H28" s="94">
        <f>0.01*0.61078*EXP((17.27*H27)/(H27+237.3))</f>
        <v>4.3490749740436359</v>
      </c>
      <c r="I28" s="374" t="s">
        <v>177</v>
      </c>
      <c r="J28" s="369"/>
      <c r="K28" s="5"/>
      <c r="L28" s="141"/>
      <c r="M28" s="57"/>
      <c r="N28" s="142"/>
      <c r="O28" s="142"/>
      <c r="P28" s="57"/>
      <c r="Q28" s="64"/>
      <c r="S28" s="63"/>
      <c r="T28" s="53"/>
      <c r="U28" s="53"/>
      <c r="V28" s="53"/>
      <c r="W28" s="53"/>
      <c r="X28" s="122"/>
    </row>
    <row r="29" spans="3:24" ht="14.5" customHeight="1" x14ac:dyDescent="0.2">
      <c r="C29" s="336" t="s">
        <v>183</v>
      </c>
      <c r="D29" s="362">
        <f>(('Input-Results'!G7/60)*8.3144598*(D27+273)/(M23/3600))/100000</f>
        <v>0.18453312165131255</v>
      </c>
      <c r="E29" s="373" t="s">
        <v>177</v>
      </c>
      <c r="F29" s="363"/>
      <c r="G29" s="93" t="s">
        <v>183</v>
      </c>
      <c r="H29" s="94">
        <f>(('Input-Results'!G7/60)*8.3144598*(H27+273)/(M26/3600))/100000</f>
        <v>0.18453312165131255</v>
      </c>
      <c r="I29" s="374" t="s">
        <v>177</v>
      </c>
      <c r="J29" s="369"/>
      <c r="K29" s="174"/>
      <c r="L29" s="141"/>
      <c r="M29" s="57"/>
      <c r="N29" s="142"/>
      <c r="O29" s="142"/>
      <c r="P29" s="57"/>
      <c r="Q29" s="64"/>
      <c r="S29" s="63"/>
      <c r="T29" s="53"/>
      <c r="U29" s="53"/>
      <c r="V29" s="53"/>
      <c r="W29" s="53"/>
      <c r="X29" s="122"/>
    </row>
    <row r="30" spans="3:24" ht="19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K30" s="179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20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L31" s="141"/>
      <c r="M31" s="57"/>
      <c r="N31" s="142"/>
      <c r="O31" s="142"/>
      <c r="P31" s="57"/>
      <c r="Q31" s="64"/>
      <c r="S31" s="63"/>
      <c r="T31" s="53"/>
      <c r="U31" s="53"/>
      <c r="V31" s="53"/>
      <c r="W31" s="53"/>
      <c r="X31" s="122"/>
    </row>
    <row r="32" spans="3:24" ht="16" thickBot="1" x14ac:dyDescent="0.25">
      <c r="C32" s="5"/>
      <c r="D32" s="5"/>
      <c r="E32" s="167"/>
      <c r="F32" s="5"/>
      <c r="G32" s="433" t="s">
        <v>231</v>
      </c>
      <c r="H32" s="436">
        <f>(237.3*LN(((H29*100)/0.61078)))/(17.27-(LN(((H29*100)/0.61078))))</f>
        <v>58.346267176097705</v>
      </c>
      <c r="I32" s="434" t="s">
        <v>7</v>
      </c>
      <c r="J32" s="435"/>
      <c r="L32" s="141" t="s">
        <v>184</v>
      </c>
      <c r="M32" s="147">
        <f>M24*((P32+273)/(P7+273))*(Q24/Q32)</f>
        <v>22.293876340932915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 t="s">
        <v>568</v>
      </c>
      <c r="T32" s="102">
        <f>T24*((W32+273)/(W7+273))*(X24/X32)</f>
        <v>22.962690900644564</v>
      </c>
      <c r="U32" s="131" t="s">
        <v>50</v>
      </c>
      <c r="V32" s="128" t="s">
        <v>31</v>
      </c>
      <c r="W32" s="53">
        <v>0</v>
      </c>
      <c r="X32" s="122">
        <v>1.0129999999999999</v>
      </c>
    </row>
    <row r="33" spans="2:24" x14ac:dyDescent="0.2">
      <c r="L33" s="141"/>
      <c r="M33" s="147">
        <f>M24*((P33+273)/(P7+273))*(Q24/Q33)</f>
        <v>23.927127354920675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T24*((W33+273)/(W7+273))*(X24/X33)</f>
        <v>24.644939318274201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6" thickBot="1" x14ac:dyDescent="0.25">
      <c r="J34" s="5"/>
      <c r="L34" s="141"/>
      <c r="M34" s="147">
        <f>M24*2.119*((273+P34)/(273+P7))*(Q24/Q34)</f>
        <v>50.701582865076915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T24*2.119*((273+W34)/(273+W7))*(X24/X34)</f>
        <v>52.222626415423029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2</v>
      </c>
      <c r="E35" s="118" t="s">
        <v>62</v>
      </c>
      <c r="F35" s="116"/>
      <c r="J35" s="5"/>
      <c r="L35" s="148"/>
      <c r="M35" s="195">
        <f>M34/60</f>
        <v>0.84502638108461525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0.87037710692371717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6" thickBot="1" x14ac:dyDescent="0.25">
      <c r="C36" s="2"/>
      <c r="D36" s="120"/>
      <c r="E36" s="2"/>
      <c r="F36" s="121"/>
    </row>
    <row r="37" spans="2:24" ht="19" x14ac:dyDescent="0.25">
      <c r="B37" s="70">
        <f>I20</f>
        <v>145.64049091688548</v>
      </c>
      <c r="C37" s="90" t="s">
        <v>7</v>
      </c>
      <c r="D37" s="110"/>
      <c r="E37" s="2"/>
      <c r="F37" s="114"/>
      <c r="G37" s="199">
        <f>I14</f>
        <v>725</v>
      </c>
      <c r="H37" s="68" t="s">
        <v>7</v>
      </c>
      <c r="I37" s="68"/>
    </row>
    <row r="38" spans="2:24" ht="19" x14ac:dyDescent="0.25">
      <c r="B38" s="264">
        <f>I10</f>
        <v>4.8856925999999996</v>
      </c>
      <c r="C38" s="68" t="s">
        <v>405</v>
      </c>
      <c r="D38" s="111"/>
      <c r="E38" s="2"/>
      <c r="F38" s="112"/>
      <c r="G38" s="200">
        <f>I10</f>
        <v>4.8856925999999996</v>
      </c>
      <c r="H38" s="68" t="s">
        <v>405</v>
      </c>
      <c r="I38" s="68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  <c r="J39" s="5"/>
    </row>
    <row r="40" spans="2:24" ht="19" x14ac:dyDescent="0.25">
      <c r="B40" s="67">
        <f>E14</f>
        <v>21</v>
      </c>
      <c r="C40" s="89" t="s">
        <v>7</v>
      </c>
      <c r="D40" s="112"/>
      <c r="E40" s="2"/>
      <c r="F40" s="112"/>
      <c r="G40" s="91">
        <f>E20</f>
        <v>657.55114015409561</v>
      </c>
      <c r="H40" s="67" t="s">
        <v>7</v>
      </c>
      <c r="I40" s="69"/>
      <c r="J40" s="5"/>
    </row>
    <row r="41" spans="2:24" ht="20" thickBot="1" x14ac:dyDescent="0.3">
      <c r="B41" s="180">
        <f>E6</f>
        <v>28.97</v>
      </c>
      <c r="C41" s="67" t="s">
        <v>47</v>
      </c>
      <c r="D41" s="113"/>
      <c r="E41" s="2"/>
      <c r="F41" s="115"/>
      <c r="G41" s="180">
        <f>B41</f>
        <v>28.97</v>
      </c>
      <c r="H41" s="67" t="s">
        <v>47</v>
      </c>
      <c r="I41" s="69"/>
      <c r="J41" s="5"/>
    </row>
    <row r="42" spans="2:24" ht="20" thickBot="1" x14ac:dyDescent="0.25">
      <c r="D42" s="120"/>
      <c r="E42" s="2"/>
      <c r="F42" s="121"/>
      <c r="J42" s="174"/>
    </row>
    <row r="43" spans="2:24" ht="20" thickBot="1" x14ac:dyDescent="0.3">
      <c r="D43" s="100" t="s">
        <v>61</v>
      </c>
      <c r="E43" s="117">
        <f>E19</f>
        <v>309.19219749076223</v>
      </c>
      <c r="F43" s="101" t="s">
        <v>1</v>
      </c>
      <c r="J43" s="178"/>
    </row>
  </sheetData>
  <mergeCells count="4">
    <mergeCell ref="C30:F30"/>
    <mergeCell ref="G30:J30"/>
    <mergeCell ref="C31:F31"/>
    <mergeCell ref="G31:J31"/>
  </mergeCells>
  <conditionalFormatting sqref="C31 G31">
    <cfRule type="cellIs" dxfId="21" priority="1" operator="equal">
      <formula>"NO CONDENSATION"</formula>
    </cfRule>
    <cfRule type="cellIs" dxfId="20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9">
    <pageSetUpPr fitToPage="1"/>
  </sheetPr>
  <dimension ref="B1:X45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411</v>
      </c>
    </row>
    <row r="3" spans="3:24" ht="6" customHeight="1" thickBot="1" x14ac:dyDescent="0.25"/>
    <row r="4" spans="3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293</v>
      </c>
      <c r="D6" s="53"/>
      <c r="E6" s="152">
        <f>'Input-Results'!Q7+'Input-Results'!R7</f>
        <v>16.242576448000001</v>
      </c>
      <c r="F6" s="122" t="s">
        <v>2</v>
      </c>
      <c r="G6" s="141" t="s">
        <v>35</v>
      </c>
      <c r="H6" s="57"/>
      <c r="I6" s="146">
        <f>'Input-Results'!S5</f>
        <v>28.97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 t="s">
        <v>65</v>
      </c>
      <c r="D7" s="53"/>
      <c r="E7" s="152">
        <f>'Input-Results'!R8</f>
        <v>0.19715306399999999</v>
      </c>
      <c r="F7" s="122" t="s">
        <v>2</v>
      </c>
      <c r="G7" s="141" t="s">
        <v>403</v>
      </c>
      <c r="H7" s="57"/>
      <c r="I7" s="146">
        <f>'Input-Results'!S6</f>
        <v>11.519568</v>
      </c>
      <c r="J7" s="64" t="s">
        <v>2</v>
      </c>
      <c r="L7" s="141" t="s">
        <v>35</v>
      </c>
      <c r="M7" s="146">
        <f>I6</f>
        <v>28.97</v>
      </c>
      <c r="N7" s="145" t="s">
        <v>2</v>
      </c>
      <c r="O7" s="142" t="s">
        <v>31</v>
      </c>
      <c r="P7" s="147">
        <f>I14</f>
        <v>725</v>
      </c>
      <c r="Q7" s="64">
        <f>'Input-Results'!S12</f>
        <v>1.02</v>
      </c>
      <c r="S7" s="63" t="s">
        <v>163</v>
      </c>
      <c r="T7" s="183">
        <f>E6</f>
        <v>16.242576448000001</v>
      </c>
      <c r="U7" s="131" t="s">
        <v>2</v>
      </c>
      <c r="V7" s="128" t="s">
        <v>31</v>
      </c>
      <c r="W7" s="102">
        <f>E20</f>
        <v>682.3685090572601</v>
      </c>
      <c r="X7" s="122">
        <f>'Input-Results'!Q12</f>
        <v>1.03</v>
      </c>
    </row>
    <row r="8" spans="3:24" x14ac:dyDescent="0.2">
      <c r="C8" s="63"/>
      <c r="D8" s="53"/>
      <c r="E8" s="152"/>
      <c r="F8" s="122"/>
      <c r="G8" s="141"/>
      <c r="H8" s="57"/>
      <c r="I8" s="146"/>
      <c r="J8" s="64"/>
      <c r="L8" s="141"/>
      <c r="M8" s="337">
        <f>M7/1000/60</f>
        <v>4.8283333333333332E-4</v>
      </c>
      <c r="N8" s="145" t="s">
        <v>3</v>
      </c>
      <c r="O8" s="142" t="s">
        <v>31</v>
      </c>
      <c r="P8" s="147">
        <f t="shared" ref="P8:Q10" si="0">P7</f>
        <v>725</v>
      </c>
      <c r="Q8" s="64">
        <f t="shared" si="0"/>
        <v>1.02</v>
      </c>
      <c r="S8" s="63"/>
      <c r="T8" s="339">
        <f>T7/1000/60</f>
        <v>2.7070960746666665E-4</v>
      </c>
      <c r="U8" s="131" t="s">
        <v>3</v>
      </c>
      <c r="V8" s="128" t="s">
        <v>31</v>
      </c>
      <c r="W8" s="53">
        <f t="shared" ref="W8:X8" si="1">W7</f>
        <v>682.3685090572601</v>
      </c>
      <c r="X8" s="122">
        <f t="shared" si="1"/>
        <v>1.03</v>
      </c>
    </row>
    <row r="9" spans="3:24" x14ac:dyDescent="0.2">
      <c r="C9" s="63"/>
      <c r="D9" s="53"/>
      <c r="E9" s="152"/>
      <c r="F9" s="122"/>
      <c r="G9" s="141"/>
      <c r="H9" s="57"/>
      <c r="I9" s="146"/>
      <c r="J9" s="64"/>
      <c r="L9" s="141" t="s">
        <v>403</v>
      </c>
      <c r="M9" s="146">
        <f>I7</f>
        <v>11.519568</v>
      </c>
      <c r="N9" s="145" t="s">
        <v>2</v>
      </c>
      <c r="O9" s="142" t="s">
        <v>31</v>
      </c>
      <c r="P9" s="147">
        <f t="shared" si="0"/>
        <v>725</v>
      </c>
      <c r="Q9" s="64">
        <f t="shared" si="0"/>
        <v>1.02</v>
      </c>
      <c r="S9" s="63" t="s">
        <v>90</v>
      </c>
      <c r="T9" s="185">
        <f>E7</f>
        <v>0.19715306399999999</v>
      </c>
      <c r="U9" s="131" t="s">
        <v>2</v>
      </c>
      <c r="V9" s="128" t="s">
        <v>31</v>
      </c>
      <c r="W9" s="53">
        <f>W8</f>
        <v>682.3685090572601</v>
      </c>
      <c r="X9" s="122">
        <f>X8</f>
        <v>1.03</v>
      </c>
    </row>
    <row r="10" spans="3:24" x14ac:dyDescent="0.2">
      <c r="C10" s="63" t="s">
        <v>45</v>
      </c>
      <c r="D10" s="53"/>
      <c r="E10" s="152">
        <f>E6+E7</f>
        <v>16.439729512</v>
      </c>
      <c r="F10" s="122" t="s">
        <v>2</v>
      </c>
      <c r="G10" s="141" t="s">
        <v>45</v>
      </c>
      <c r="H10" s="57"/>
      <c r="I10" s="146">
        <f>I6+I7</f>
        <v>40.489567999999998</v>
      </c>
      <c r="J10" s="64" t="s">
        <v>2</v>
      </c>
      <c r="L10" s="141"/>
      <c r="M10" s="337">
        <f>M9/1000/60</f>
        <v>1.9199279999999999E-4</v>
      </c>
      <c r="N10" s="145" t="s">
        <v>3</v>
      </c>
      <c r="O10" s="142" t="s">
        <v>31</v>
      </c>
      <c r="P10" s="147">
        <f t="shared" si="0"/>
        <v>725</v>
      </c>
      <c r="Q10" s="64">
        <f t="shared" si="0"/>
        <v>1.02</v>
      </c>
      <c r="S10" s="63"/>
      <c r="T10" s="339">
        <f>T9/1000/60</f>
        <v>3.2858843999999995E-6</v>
      </c>
      <c r="U10" s="131" t="s">
        <v>3</v>
      </c>
      <c r="V10" s="128" t="s">
        <v>31</v>
      </c>
      <c r="W10" s="53">
        <f>W9</f>
        <v>682.3685090572601</v>
      </c>
      <c r="X10" s="122">
        <f>X9</f>
        <v>1.03</v>
      </c>
    </row>
    <row r="11" spans="3:24" x14ac:dyDescent="0.2">
      <c r="C11" s="63" t="s">
        <v>45</v>
      </c>
      <c r="D11" s="53"/>
      <c r="E11" s="338">
        <f>E10/1000/60</f>
        <v>2.7399549186666661E-4</v>
      </c>
      <c r="F11" s="122" t="s">
        <v>3</v>
      </c>
      <c r="G11" s="141" t="s">
        <v>46</v>
      </c>
      <c r="H11" s="57"/>
      <c r="I11" s="337">
        <f>I10/1000/60</f>
        <v>6.7482613333333331E-4</v>
      </c>
      <c r="J11" s="64" t="s">
        <v>3</v>
      </c>
      <c r="L11" s="141"/>
      <c r="M11" s="146"/>
      <c r="N11" s="145"/>
      <c r="O11" s="142"/>
      <c r="P11" s="147"/>
      <c r="Q11" s="64"/>
      <c r="S11" s="63"/>
      <c r="T11" s="53"/>
      <c r="U11" s="53"/>
      <c r="V11" s="53"/>
      <c r="W11" s="53"/>
      <c r="X11" s="122"/>
    </row>
    <row r="12" spans="3:24" ht="17" x14ac:dyDescent="0.25">
      <c r="C12" s="63" t="s">
        <v>4</v>
      </c>
      <c r="D12" s="53" t="s">
        <v>11</v>
      </c>
      <c r="E12" s="56">
        <f>'Interpolation 3'!CL9</f>
        <v>2072.9763284446599</v>
      </c>
      <c r="F12" s="122" t="s">
        <v>0</v>
      </c>
      <c r="G12" s="141" t="s">
        <v>4</v>
      </c>
      <c r="H12" s="57" t="s">
        <v>12</v>
      </c>
      <c r="I12" s="59">
        <f>'Interpolation 1'!S7</f>
        <v>1125.4117173648283</v>
      </c>
      <c r="J12" s="64" t="s">
        <v>0</v>
      </c>
      <c r="L12" s="141"/>
      <c r="M12" s="146"/>
      <c r="N12" s="145"/>
      <c r="O12" s="142"/>
      <c r="P12" s="147"/>
      <c r="Q12" s="64"/>
      <c r="S12" s="63"/>
      <c r="T12" s="53"/>
      <c r="U12" s="53"/>
      <c r="V12" s="53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0.56798616874015118</v>
      </c>
      <c r="F13" s="122" t="s">
        <v>19</v>
      </c>
      <c r="G13" s="141" t="s">
        <v>5</v>
      </c>
      <c r="H13" s="57" t="s">
        <v>13</v>
      </c>
      <c r="I13" s="58">
        <f>I11*I12</f>
        <v>0.75945723763733319</v>
      </c>
      <c r="J13" s="64" t="s">
        <v>8</v>
      </c>
      <c r="L13" s="141"/>
      <c r="M13" s="146"/>
      <c r="N13" s="145"/>
      <c r="O13" s="142"/>
      <c r="P13" s="147"/>
      <c r="Q13" s="64"/>
      <c r="S13" s="63"/>
      <c r="T13" s="53"/>
      <c r="U13" s="53"/>
      <c r="V13" s="53"/>
      <c r="W13" s="53"/>
      <c r="X13" s="122"/>
    </row>
    <row r="14" spans="3:24" ht="18" thickBot="1" x14ac:dyDescent="0.3">
      <c r="C14" s="86" t="s">
        <v>408</v>
      </c>
      <c r="D14" s="87" t="s">
        <v>16</v>
      </c>
      <c r="E14" s="165">
        <f>'V1'!C23</f>
        <v>169.34751234418246</v>
      </c>
      <c r="F14" s="124" t="s">
        <v>7</v>
      </c>
      <c r="G14" s="148" t="s">
        <v>409</v>
      </c>
      <c r="H14" s="149" t="s">
        <v>17</v>
      </c>
      <c r="I14" s="445">
        <f>'Input-Results'!D21</f>
        <v>725</v>
      </c>
      <c r="J14" s="151" t="s">
        <v>7</v>
      </c>
      <c r="L14" s="141"/>
      <c r="M14" s="146"/>
      <c r="N14" s="145"/>
      <c r="O14" s="142"/>
      <c r="P14" s="147"/>
      <c r="Q14" s="64"/>
      <c r="S14" s="63"/>
      <c r="T14" s="53"/>
      <c r="U14" s="53"/>
      <c r="V14" s="53"/>
      <c r="W14" s="53"/>
      <c r="X14" s="122"/>
    </row>
    <row r="15" spans="3:24" x14ac:dyDescent="0.2">
      <c r="C15" s="83" t="s">
        <v>59</v>
      </c>
      <c r="D15" s="84" t="s">
        <v>15</v>
      </c>
      <c r="E15" s="260">
        <f>'Input-Results'!D43</f>
        <v>0.8</v>
      </c>
      <c r="F15" s="260"/>
      <c r="G15" s="450"/>
      <c r="H15" s="450"/>
      <c r="I15" s="450"/>
      <c r="J15" s="451"/>
      <c r="L15" s="141"/>
      <c r="M15" s="146"/>
      <c r="N15" s="145"/>
      <c r="O15" s="142"/>
      <c r="P15" s="147"/>
      <c r="Q15" s="64"/>
      <c r="S15" s="63"/>
      <c r="T15" s="53"/>
      <c r="U15" s="53"/>
      <c r="V15" s="53"/>
      <c r="W15" s="53"/>
      <c r="X15" s="122"/>
    </row>
    <row r="16" spans="3:24" x14ac:dyDescent="0.2">
      <c r="C16" s="83" t="s">
        <v>52</v>
      </c>
      <c r="D16" s="85" t="s">
        <v>53</v>
      </c>
      <c r="E16" s="260">
        <f>'Input-Results'!D34</f>
        <v>2</v>
      </c>
      <c r="F16" s="61" t="s">
        <v>63</v>
      </c>
      <c r="G16" s="62"/>
      <c r="H16" s="62"/>
      <c r="I16" s="62"/>
      <c r="J16" s="66"/>
      <c r="L16" s="141"/>
      <c r="M16" s="146"/>
      <c r="N16" s="145"/>
      <c r="O16" s="142"/>
      <c r="P16" s="147"/>
      <c r="Q16" s="64"/>
      <c r="S16" s="63"/>
      <c r="T16" s="53"/>
      <c r="U16" s="53"/>
      <c r="V16" s="53"/>
      <c r="W16" s="53"/>
      <c r="X16" s="122"/>
    </row>
    <row r="17" spans="3:24" x14ac:dyDescent="0.2">
      <c r="C17" s="83" t="s">
        <v>56</v>
      </c>
      <c r="D17" s="85" t="s">
        <v>57</v>
      </c>
      <c r="E17" s="103">
        <f>MIN(E13,I13)/MAX(E13:I13)</f>
        <v>0.74788433185145842</v>
      </c>
      <c r="F17" s="61"/>
      <c r="G17" s="62"/>
      <c r="H17" s="62"/>
      <c r="I17" s="62"/>
      <c r="J17" s="66"/>
      <c r="L17" s="387" t="s">
        <v>89</v>
      </c>
      <c r="M17" s="146">
        <f>0.0034*(100000*Q17/(P17+273))</f>
        <v>0.34749498997995987</v>
      </c>
      <c r="N17" s="145" t="s">
        <v>23</v>
      </c>
      <c r="O17" s="142" t="s">
        <v>31</v>
      </c>
      <c r="P17" s="147">
        <f>P7</f>
        <v>725</v>
      </c>
      <c r="Q17" s="64">
        <f>Q7</f>
        <v>1.02</v>
      </c>
      <c r="S17" s="63" t="s">
        <v>164</v>
      </c>
      <c r="T17" s="152">
        <f>(1/461.52)*(100000*X17/(W17+273))</f>
        <v>0.23360158051539692</v>
      </c>
      <c r="U17" s="131" t="s">
        <v>23</v>
      </c>
      <c r="V17" s="128" t="s">
        <v>31</v>
      </c>
      <c r="W17" s="53">
        <f>W10</f>
        <v>682.3685090572601</v>
      </c>
      <c r="X17" s="122">
        <f>X10</f>
        <v>1.03</v>
      </c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0.92327670281367169</v>
      </c>
      <c r="F18" s="61" t="s">
        <v>60</v>
      </c>
      <c r="G18" s="62"/>
      <c r="H18" s="62"/>
      <c r="I18" s="62"/>
      <c r="J18" s="66"/>
      <c r="L18" s="141" t="s">
        <v>88</v>
      </c>
      <c r="M18" s="146">
        <f>(1/259.84)*(100000*Q18/(P18+273))</f>
        <v>0.3933359329496432</v>
      </c>
      <c r="N18" s="145" t="s">
        <v>23</v>
      </c>
      <c r="O18" s="142" t="s">
        <v>31</v>
      </c>
      <c r="P18" s="147">
        <f>P7</f>
        <v>725</v>
      </c>
      <c r="Q18" s="64">
        <f>Q7</f>
        <v>1.02</v>
      </c>
      <c r="S18" s="63" t="s">
        <v>91</v>
      </c>
      <c r="T18" s="152">
        <f>(1/4124.2)*(100000*X18/(W18+273))</f>
        <v>2.6141264109273556E-2</v>
      </c>
      <c r="U18" s="131" t="s">
        <v>23</v>
      </c>
      <c r="V18" s="128" t="s">
        <v>31</v>
      </c>
      <c r="W18" s="53">
        <f>W17</f>
        <v>682.3685090572601</v>
      </c>
      <c r="X18" s="122">
        <f>X17</f>
        <v>1.03</v>
      </c>
    </row>
    <row r="19" spans="3:24" ht="17" x14ac:dyDescent="0.25">
      <c r="C19" s="65" t="s">
        <v>14</v>
      </c>
      <c r="D19" s="60" t="s">
        <v>18</v>
      </c>
      <c r="E19" s="105">
        <f>E18*MIN(E13,I13)*(I14-E14)</f>
        <v>291.3888304063147</v>
      </c>
      <c r="F19" s="61" t="s">
        <v>1</v>
      </c>
      <c r="G19" s="62" t="s">
        <v>22</v>
      </c>
      <c r="H19" s="62"/>
      <c r="I19" s="62"/>
      <c r="J19" s="66"/>
      <c r="L19" s="141" t="s">
        <v>629</v>
      </c>
      <c r="M19" s="146">
        <f>1/(((I6/I10)/M17)+((I7/I10)/M18))</f>
        <v>0.35941223380655651</v>
      </c>
      <c r="N19" s="145" t="s">
        <v>23</v>
      </c>
      <c r="O19" s="142" t="s">
        <v>31</v>
      </c>
      <c r="P19" s="147">
        <f>P7</f>
        <v>725</v>
      </c>
      <c r="Q19" s="64">
        <f>Q7</f>
        <v>1.02</v>
      </c>
      <c r="S19" s="32" t="s">
        <v>629</v>
      </c>
      <c r="T19" s="152">
        <f>1/(((T7/E10)/T17)+((T9/E10)/T18))</f>
        <v>0.21330092536480219</v>
      </c>
      <c r="U19" s="131" t="s">
        <v>23</v>
      </c>
      <c r="V19" s="128" t="s">
        <v>31</v>
      </c>
      <c r="W19" s="53">
        <f>W18</f>
        <v>682.3685090572601</v>
      </c>
      <c r="X19" s="122">
        <f>X18</f>
        <v>1.03</v>
      </c>
    </row>
    <row r="20" spans="3:24" ht="18" thickBot="1" x14ac:dyDescent="0.3">
      <c r="C20" s="86" t="s">
        <v>64</v>
      </c>
      <c r="D20" s="87" t="s">
        <v>20</v>
      </c>
      <c r="E20" s="165">
        <f>E14+E19/E13</f>
        <v>682.3685090572601</v>
      </c>
      <c r="F20" s="169" t="s">
        <v>7</v>
      </c>
      <c r="G20" s="170" t="s">
        <v>460</v>
      </c>
      <c r="H20" s="170" t="s">
        <v>21</v>
      </c>
      <c r="I20" s="171">
        <f>I14-E19/I13</f>
        <v>341.31963464747065</v>
      </c>
      <c r="J20" s="172" t="s">
        <v>7</v>
      </c>
      <c r="L20" s="141"/>
      <c r="M20" s="146"/>
      <c r="N20" s="145"/>
      <c r="O20" s="142"/>
      <c r="P20" s="147"/>
      <c r="Q20" s="64"/>
      <c r="S20" s="63"/>
      <c r="T20" s="55"/>
      <c r="U20" s="131"/>
      <c r="V20" s="128"/>
      <c r="W20" s="102"/>
      <c r="X20" s="122"/>
    </row>
    <row r="21" spans="3:24" x14ac:dyDescent="0.2">
      <c r="C21" s="268" t="s">
        <v>129</v>
      </c>
      <c r="D21" s="62"/>
      <c r="E21" s="62"/>
      <c r="F21" s="272">
        <f>E20</f>
        <v>682.3685090572601</v>
      </c>
      <c r="G21" s="62" t="s">
        <v>124</v>
      </c>
      <c r="H21" s="62">
        <f>'Input-Results'!D21</f>
        <v>725</v>
      </c>
      <c r="I21" s="62" t="s">
        <v>7</v>
      </c>
      <c r="J21" s="66"/>
      <c r="L21" s="141"/>
      <c r="M21" s="146"/>
      <c r="N21" s="145"/>
      <c r="O21" s="142"/>
      <c r="P21" s="147"/>
      <c r="Q21" s="64"/>
      <c r="S21" s="63"/>
      <c r="T21" s="53"/>
      <c r="U21" s="53"/>
      <c r="V21" s="53"/>
      <c r="W21" s="53"/>
      <c r="X21" s="122"/>
    </row>
    <row r="22" spans="3:24" ht="17" x14ac:dyDescent="0.25">
      <c r="C22" s="65" t="s">
        <v>125</v>
      </c>
      <c r="D22" s="60" t="s">
        <v>126</v>
      </c>
      <c r="E22" s="271">
        <f>'Interpolation 3'!DF9</f>
        <v>2423.1751105919043</v>
      </c>
      <c r="F22" s="61" t="s">
        <v>632</v>
      </c>
      <c r="G22" s="272">
        <f>F21</f>
        <v>682.3685090572601</v>
      </c>
      <c r="H22" s="62" t="s">
        <v>7</v>
      </c>
      <c r="I22" s="62"/>
      <c r="J22" s="66"/>
      <c r="L22" s="141"/>
      <c r="M22" s="146"/>
      <c r="N22" s="145"/>
      <c r="O22" s="142"/>
      <c r="P22" s="147"/>
      <c r="Q22" s="64"/>
      <c r="S22" s="63"/>
      <c r="T22" s="152"/>
      <c r="U22" s="131"/>
      <c r="V22" s="128"/>
      <c r="W22" s="102"/>
      <c r="X22" s="122"/>
    </row>
    <row r="23" spans="3:24" ht="17" x14ac:dyDescent="0.25">
      <c r="C23" s="65" t="s">
        <v>127</v>
      </c>
      <c r="D23" s="60" t="s">
        <v>27</v>
      </c>
      <c r="E23" s="60">
        <f>'Input-Results'!D21</f>
        <v>725</v>
      </c>
      <c r="F23" s="61" t="s">
        <v>7</v>
      </c>
      <c r="G23" s="62"/>
      <c r="H23" s="62"/>
      <c r="I23" s="62"/>
      <c r="J23" s="66"/>
      <c r="L23" s="141" t="s">
        <v>184</v>
      </c>
      <c r="M23" s="147">
        <f>(3600*M8/M17)+(3600*M10/M18)</f>
        <v>6.7592971287325234</v>
      </c>
      <c r="N23" s="145" t="s">
        <v>25</v>
      </c>
      <c r="O23" s="142" t="s">
        <v>31</v>
      </c>
      <c r="P23" s="147">
        <f>P7</f>
        <v>725</v>
      </c>
      <c r="Q23" s="64">
        <f>Q7</f>
        <v>1.02</v>
      </c>
      <c r="S23" s="63" t="s">
        <v>568</v>
      </c>
      <c r="T23" s="186">
        <f>(3600*T8/T17)+(3600*T10/T18)</f>
        <v>4.6243764251515413</v>
      </c>
      <c r="U23" s="131" t="s">
        <v>25</v>
      </c>
      <c r="V23" s="128" t="s">
        <v>31</v>
      </c>
      <c r="W23" s="53">
        <f>W18</f>
        <v>682.3685090572601</v>
      </c>
      <c r="X23" s="122">
        <f>X18</f>
        <v>1.03</v>
      </c>
    </row>
    <row r="24" spans="3:24" ht="16" thickBot="1" x14ac:dyDescent="0.25">
      <c r="C24" s="273" t="s">
        <v>625</v>
      </c>
      <c r="D24" s="270" t="s">
        <v>128</v>
      </c>
      <c r="E24" s="274">
        <f>E11*E22*(E23-E20)</f>
        <v>28.304711865427432</v>
      </c>
      <c r="F24" s="275" t="s">
        <v>1</v>
      </c>
      <c r="G24" s="269"/>
      <c r="H24" s="269"/>
      <c r="I24" s="269"/>
      <c r="J24" s="276"/>
      <c r="L24" s="141"/>
      <c r="M24" s="59">
        <f>M23*1000/60</f>
        <v>112.65495214554205</v>
      </c>
      <c r="N24" s="145" t="s">
        <v>49</v>
      </c>
      <c r="O24" s="142" t="s">
        <v>31</v>
      </c>
      <c r="P24" s="147">
        <f>P7</f>
        <v>725</v>
      </c>
      <c r="Q24" s="64">
        <f>Q7</f>
        <v>1.02</v>
      </c>
      <c r="S24" s="63"/>
      <c r="T24" s="56">
        <f>T23*1000/60</f>
        <v>77.072940419192349</v>
      </c>
      <c r="U24" s="131" t="s">
        <v>49</v>
      </c>
      <c r="V24" s="128" t="s">
        <v>31</v>
      </c>
      <c r="W24" s="53">
        <f>W23</f>
        <v>682.3685090572601</v>
      </c>
      <c r="X24" s="122">
        <f>X23</f>
        <v>1.03</v>
      </c>
    </row>
    <row r="25" spans="3:24" ht="16" thickBot="1" x14ac:dyDescent="0.25">
      <c r="C25" s="5"/>
      <c r="D25" s="5"/>
      <c r="E25" s="167"/>
      <c r="F25" s="5"/>
      <c r="G25" s="5"/>
      <c r="H25" s="5"/>
      <c r="I25" s="5"/>
      <c r="J25" s="5"/>
      <c r="L25" s="141"/>
      <c r="M25" s="57"/>
      <c r="N25" s="142"/>
      <c r="O25" s="142"/>
      <c r="P25" s="57"/>
      <c r="Q25" s="64"/>
      <c r="S25" s="63"/>
      <c r="T25" s="56"/>
      <c r="U25" s="131"/>
      <c r="V25" s="128"/>
      <c r="W25" s="53"/>
      <c r="X25" s="122"/>
    </row>
    <row r="26" spans="3:24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L26" s="141" t="s">
        <v>191</v>
      </c>
      <c r="M26" s="147">
        <f>M23*(P26+273)/(I14+273)</f>
        <v>4.1606903232431467</v>
      </c>
      <c r="N26" s="145" t="s">
        <v>25</v>
      </c>
      <c r="O26" s="142" t="s">
        <v>31</v>
      </c>
      <c r="P26" s="147">
        <f>I20</f>
        <v>341.31963464747065</v>
      </c>
      <c r="Q26" s="64">
        <f>Q7</f>
        <v>1.02</v>
      </c>
      <c r="S26" s="63" t="s">
        <v>184</v>
      </c>
      <c r="T26" s="102">
        <f>T23*(W26+273)/(E20+273)</f>
        <v>2.1411438501645921</v>
      </c>
      <c r="U26" s="131" t="s">
        <v>25</v>
      </c>
      <c r="V26" s="128" t="s">
        <v>31</v>
      </c>
      <c r="W26" s="102">
        <f>E14</f>
        <v>169.34751234418246</v>
      </c>
      <c r="X26" s="122">
        <f>X7</f>
        <v>1.03</v>
      </c>
    </row>
    <row r="27" spans="3:24" x14ac:dyDescent="0.2">
      <c r="C27" s="213" t="s">
        <v>179</v>
      </c>
      <c r="D27" s="360">
        <f>I14</f>
        <v>725</v>
      </c>
      <c r="E27" s="371" t="s">
        <v>7</v>
      </c>
      <c r="F27" s="361"/>
      <c r="G27" s="93" t="s">
        <v>180</v>
      </c>
      <c r="H27" s="309">
        <f>I20</f>
        <v>341.31963464747065</v>
      </c>
      <c r="I27" s="374" t="s">
        <v>7</v>
      </c>
      <c r="J27" s="369"/>
      <c r="L27" s="141"/>
      <c r="M27" s="59">
        <f>M26*1000/60</f>
        <v>69.34483872071911</v>
      </c>
      <c r="N27" s="145" t="s">
        <v>49</v>
      </c>
      <c r="O27" s="142" t="s">
        <v>31</v>
      </c>
      <c r="P27" s="147">
        <f>P26</f>
        <v>341.31963464747065</v>
      </c>
      <c r="Q27" s="64">
        <f>Q26</f>
        <v>1.02</v>
      </c>
      <c r="S27" s="63"/>
      <c r="T27" s="56">
        <f>T26*1000/60</f>
        <v>35.685730836076537</v>
      </c>
      <c r="U27" s="131" t="s">
        <v>49</v>
      </c>
      <c r="V27" s="128" t="s">
        <v>31</v>
      </c>
      <c r="W27" s="53">
        <f>W26</f>
        <v>169.34751234418246</v>
      </c>
      <c r="X27" s="122">
        <f>X26</f>
        <v>1.03</v>
      </c>
    </row>
    <row r="28" spans="3:24" x14ac:dyDescent="0.2">
      <c r="C28" s="96" t="s">
        <v>178</v>
      </c>
      <c r="D28" s="335">
        <f>0.01*0.61078*EXP((17.27*D27)/(D27+237.3))</f>
        <v>2732.8121075495928</v>
      </c>
      <c r="E28" s="372" t="s">
        <v>177</v>
      </c>
      <c r="F28" s="359"/>
      <c r="G28" s="93" t="s">
        <v>178</v>
      </c>
      <c r="H28" s="94">
        <f>0.01*0.61078*EXP((17.27*H27)/(H27+237.3))</f>
        <v>162.25074824348357</v>
      </c>
      <c r="I28" s="374" t="s">
        <v>177</v>
      </c>
      <c r="J28" s="369"/>
      <c r="L28" s="141"/>
      <c r="M28" s="57"/>
      <c r="N28" s="142"/>
      <c r="O28" s="142"/>
      <c r="P28" s="57"/>
      <c r="Q28" s="64"/>
      <c r="S28" s="63"/>
      <c r="T28" s="53"/>
      <c r="U28" s="53"/>
      <c r="V28" s="53"/>
      <c r="W28" s="53"/>
      <c r="X28" s="122"/>
    </row>
    <row r="29" spans="3:24" x14ac:dyDescent="0.2">
      <c r="C29" s="336" t="s">
        <v>183</v>
      </c>
      <c r="D29" s="362">
        <f>(('Input-Results'!J7/60)*8.3144598*(D27+273)/(M23/3600))/100000</f>
        <v>0</v>
      </c>
      <c r="E29" s="373" t="s">
        <v>177</v>
      </c>
      <c r="F29" s="363"/>
      <c r="G29" s="93" t="s">
        <v>183</v>
      </c>
      <c r="H29" s="94">
        <f>(('Input-Results'!J7/60)*8.3144598*(H27+273)/(M26/3600))/100000</f>
        <v>0</v>
      </c>
      <c r="I29" s="374" t="s">
        <v>177</v>
      </c>
      <c r="J29" s="369"/>
      <c r="L29" s="141"/>
      <c r="M29" s="57"/>
      <c r="N29" s="142"/>
      <c r="O29" s="142"/>
      <c r="P29" s="57"/>
      <c r="Q29" s="64"/>
      <c r="S29" s="63"/>
      <c r="T29" s="53"/>
      <c r="U29" s="53"/>
      <c r="V29" s="53"/>
      <c r="W29" s="53"/>
      <c r="X29" s="122"/>
    </row>
    <row r="30" spans="3:24" ht="19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20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L31" s="141"/>
      <c r="M31" s="57"/>
      <c r="N31" s="142"/>
      <c r="O31" s="142"/>
      <c r="P31" s="57"/>
      <c r="Q31" s="64"/>
      <c r="S31" s="63"/>
      <c r="T31" s="53"/>
      <c r="U31" s="53"/>
      <c r="V31" s="53"/>
      <c r="W31" s="53"/>
      <c r="X31" s="122"/>
    </row>
    <row r="32" spans="3:24" ht="15.5" customHeight="1" x14ac:dyDescent="0.2">
      <c r="L32" s="141" t="s">
        <v>184</v>
      </c>
      <c r="M32" s="147">
        <f>M24*((P32+273)/(P7+273))*(Q24/Q32)</f>
        <v>31.029381541412185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 t="s">
        <v>568</v>
      </c>
      <c r="T32" s="102">
        <f>T24*((W32+273)/(W7+273))*(X24/X32)</f>
        <v>22.393471923302311</v>
      </c>
      <c r="U32" s="131" t="s">
        <v>50</v>
      </c>
      <c r="V32" s="128" t="s">
        <v>31</v>
      </c>
      <c r="W32" s="53">
        <v>0</v>
      </c>
      <c r="X32" s="122">
        <v>1.0129999999999999</v>
      </c>
    </row>
    <row r="33" spans="2:24" x14ac:dyDescent="0.2">
      <c r="L33" s="141"/>
      <c r="M33" s="147">
        <f>M24*((P33+273)/(P7+273))*(Q24/Q33)</f>
        <v>33.302596306350807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T24*((W33+273)/(W7+273))*(X24/X33)</f>
        <v>24.034019316950836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5.5" customHeight="1" thickBot="1" x14ac:dyDescent="0.25">
      <c r="L34" s="141"/>
      <c r="M34" s="147">
        <f>M24*2.119*((273+P34)/(273+P7))*(Q24/Q34)</f>
        <v>70.568201573157381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T24*2.119*((273+W34)/(273+W7))*(X24/X34)</f>
        <v>50.928086932618832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2</v>
      </c>
      <c r="E35" s="118" t="s">
        <v>62</v>
      </c>
      <c r="F35" s="116"/>
      <c r="J35" s="5"/>
      <c r="K35" s="5"/>
      <c r="L35" s="148"/>
      <c r="M35" s="195">
        <f>M34/60</f>
        <v>1.1761366928859565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0.8488014488769805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6" thickBot="1" x14ac:dyDescent="0.25">
      <c r="C36" s="2"/>
      <c r="D36" s="120"/>
      <c r="E36" s="2"/>
      <c r="F36" s="121"/>
      <c r="J36" s="5"/>
      <c r="K36" s="5"/>
    </row>
    <row r="37" spans="2:24" ht="19" x14ac:dyDescent="0.25">
      <c r="B37" s="70">
        <f>I20</f>
        <v>341.31963464747065</v>
      </c>
      <c r="C37" s="90" t="s">
        <v>7</v>
      </c>
      <c r="D37" s="110"/>
      <c r="E37" s="2"/>
      <c r="F37" s="114"/>
      <c r="G37" s="199">
        <f>I14</f>
        <v>725</v>
      </c>
      <c r="H37" s="68" t="s">
        <v>7</v>
      </c>
      <c r="I37" s="68"/>
      <c r="J37" s="5"/>
      <c r="K37" s="5"/>
    </row>
    <row r="38" spans="2:24" ht="19" x14ac:dyDescent="0.25">
      <c r="B38" s="264">
        <f>I10</f>
        <v>40.489567999999998</v>
      </c>
      <c r="C38" s="68" t="s">
        <v>48</v>
      </c>
      <c r="D38" s="111"/>
      <c r="E38" s="2"/>
      <c r="F38" s="112"/>
      <c r="G38" s="200">
        <f>I10</f>
        <v>40.489567999999998</v>
      </c>
      <c r="H38" s="68" t="s">
        <v>48</v>
      </c>
      <c r="I38" s="68"/>
      <c r="J38" s="5"/>
      <c r="K38" s="5"/>
      <c r="L38" s="5"/>
      <c r="M38" s="5"/>
      <c r="N38" s="4"/>
      <c r="O38" s="4"/>
      <c r="P38" s="5"/>
      <c r="Q38" s="5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  <c r="J39" s="5"/>
      <c r="K39" s="5"/>
      <c r="L39" s="5"/>
      <c r="M39" s="5"/>
      <c r="N39" s="4"/>
      <c r="O39" s="4"/>
      <c r="P39" s="5"/>
      <c r="Q39" s="5"/>
    </row>
    <row r="40" spans="2:24" ht="19" x14ac:dyDescent="0.25">
      <c r="B40" s="67">
        <f>E14</f>
        <v>169.34751234418246</v>
      </c>
      <c r="C40" s="89" t="s">
        <v>7</v>
      </c>
      <c r="D40" s="112"/>
      <c r="E40" s="2"/>
      <c r="F40" s="112"/>
      <c r="G40" s="91">
        <f>E20</f>
        <v>682.3685090572601</v>
      </c>
      <c r="H40" s="67" t="s">
        <v>7</v>
      </c>
      <c r="I40" s="69"/>
      <c r="J40" s="174"/>
      <c r="K40" s="174"/>
    </row>
    <row r="41" spans="2:24" ht="20" thickBot="1" x14ac:dyDescent="0.3">
      <c r="B41" s="180">
        <f>E10</f>
        <v>16.439729512</v>
      </c>
      <c r="C41" s="67" t="s">
        <v>405</v>
      </c>
      <c r="D41" s="113"/>
      <c r="E41" s="2"/>
      <c r="F41" s="115"/>
      <c r="G41" s="180">
        <f>B41</f>
        <v>16.439729512</v>
      </c>
      <c r="H41" s="67" t="s">
        <v>405</v>
      </c>
      <c r="I41" s="69"/>
      <c r="J41" s="178"/>
      <c r="K41" s="179"/>
      <c r="R41" s="5"/>
      <c r="S41" s="5"/>
    </row>
    <row r="42" spans="2:24" ht="16" thickBot="1" x14ac:dyDescent="0.25">
      <c r="D42" s="120"/>
      <c r="E42" s="2"/>
      <c r="F42" s="121"/>
      <c r="J42" s="5"/>
      <c r="K42" s="5"/>
      <c r="R42" s="5"/>
      <c r="S42" s="5"/>
    </row>
    <row r="43" spans="2:24" ht="20" thickBot="1" x14ac:dyDescent="0.3">
      <c r="D43" s="100" t="s">
        <v>61</v>
      </c>
      <c r="E43" s="117">
        <f>E19</f>
        <v>291.3888304063147</v>
      </c>
      <c r="F43" s="101" t="s">
        <v>1</v>
      </c>
      <c r="J43" s="5"/>
      <c r="K43" s="5"/>
      <c r="M43" s="176"/>
      <c r="N43" s="177"/>
      <c r="O43" s="173"/>
      <c r="P43" s="173"/>
      <c r="Q43" s="5"/>
      <c r="R43" s="5"/>
      <c r="S43" s="5"/>
    </row>
    <row r="44" spans="2:24" x14ac:dyDescent="0.2">
      <c r="J44" s="5"/>
      <c r="K44" s="5"/>
      <c r="L44" s="5"/>
      <c r="M44" s="5"/>
      <c r="N44" s="4"/>
      <c r="O44" s="4"/>
      <c r="P44" s="5"/>
      <c r="Q44" s="5"/>
      <c r="R44" s="5"/>
      <c r="S44" s="5"/>
    </row>
    <row r="45" spans="2:24" x14ac:dyDescent="0.2">
      <c r="J45" s="5"/>
      <c r="K45" s="5"/>
      <c r="L45" s="5"/>
      <c r="M45" s="5"/>
      <c r="N45" s="4"/>
      <c r="O45" s="4"/>
      <c r="P45" s="5"/>
      <c r="Q45" s="5"/>
      <c r="R45" s="5"/>
      <c r="S45" s="5"/>
    </row>
  </sheetData>
  <mergeCells count="4">
    <mergeCell ref="C30:F30"/>
    <mergeCell ref="G30:J30"/>
    <mergeCell ref="C31:F31"/>
    <mergeCell ref="G31:J31"/>
  </mergeCells>
  <conditionalFormatting sqref="C31 G31">
    <cfRule type="cellIs" dxfId="19" priority="1" operator="equal">
      <formula>"NO CONDENSATION"</formula>
    </cfRule>
    <cfRule type="cellIs" dxfId="18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3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1">
    <pageSetUpPr fitToPage="1"/>
  </sheetPr>
  <dimension ref="B1:AA44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413</v>
      </c>
      <c r="M2" s="340"/>
      <c r="N2" s="340"/>
      <c r="O2" s="340"/>
      <c r="P2" s="340"/>
      <c r="Q2" s="340"/>
      <c r="R2" s="340"/>
      <c r="S2" s="340"/>
      <c r="T2" s="340"/>
    </row>
    <row r="3" spans="3:24" ht="6" customHeight="1" thickBot="1" x14ac:dyDescent="0.25"/>
    <row r="4" spans="3:24" x14ac:dyDescent="0.2">
      <c r="C4" s="71" t="s">
        <v>228</v>
      </c>
      <c r="D4" s="72"/>
      <c r="E4" s="72"/>
      <c r="F4" s="73"/>
      <c r="G4" s="74" t="s">
        <v>272</v>
      </c>
      <c r="H4" s="75"/>
      <c r="I4" s="75"/>
      <c r="J4" s="76"/>
      <c r="L4" s="133" t="s">
        <v>229</v>
      </c>
      <c r="M4" s="134"/>
      <c r="N4" s="135"/>
      <c r="O4" s="135"/>
      <c r="P4" s="134"/>
      <c r="Q4" s="136"/>
      <c r="S4" s="71" t="s">
        <v>230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293</v>
      </c>
      <c r="D6" s="53"/>
      <c r="E6" s="152">
        <f>'Input-Results'!T7</f>
        <v>0.21618336000000002</v>
      </c>
      <c r="F6" s="181" t="s">
        <v>2</v>
      </c>
      <c r="G6" s="57" t="s">
        <v>293</v>
      </c>
      <c r="H6" s="57"/>
      <c r="I6" s="146">
        <f>'Input-Results'!U7</f>
        <v>5.7648896000000001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 t="s">
        <v>65</v>
      </c>
      <c r="D7" s="53"/>
      <c r="E7" s="152">
        <f>'Input-Results'!T8</f>
        <v>1.4457891359999999</v>
      </c>
      <c r="F7" s="181" t="s">
        <v>2</v>
      </c>
      <c r="G7" s="57" t="s">
        <v>65</v>
      </c>
      <c r="H7" s="57"/>
      <c r="I7" s="146">
        <f>'Input-Results'!U8</f>
        <v>0.19352448000000003</v>
      </c>
      <c r="J7" s="64" t="s">
        <v>2</v>
      </c>
      <c r="L7" s="141"/>
      <c r="M7" s="57"/>
      <c r="N7" s="142"/>
      <c r="O7" s="142"/>
      <c r="P7" s="143"/>
      <c r="Q7" s="144"/>
      <c r="S7" s="63"/>
      <c r="T7" s="183"/>
      <c r="U7" s="128"/>
      <c r="V7" s="128"/>
      <c r="W7" s="129"/>
      <c r="X7" s="130"/>
    </row>
    <row r="8" spans="3:24" x14ac:dyDescent="0.2">
      <c r="C8" s="63" t="s">
        <v>103</v>
      </c>
      <c r="D8" s="53"/>
      <c r="E8" s="152">
        <f>'Input-Results'!T9</f>
        <v>7.9217999999999993</v>
      </c>
      <c r="F8" s="181" t="s">
        <v>2</v>
      </c>
      <c r="G8" s="57" t="s">
        <v>103</v>
      </c>
      <c r="H8" s="57"/>
      <c r="I8" s="146">
        <f>'Input-Results'!U9</f>
        <v>1.0562400000000001</v>
      </c>
      <c r="J8" s="64" t="s">
        <v>2</v>
      </c>
      <c r="L8" s="141" t="s">
        <v>163</v>
      </c>
      <c r="M8" s="146">
        <f>I6</f>
        <v>5.7648896000000001</v>
      </c>
      <c r="N8" s="145" t="s">
        <v>2</v>
      </c>
      <c r="O8" s="142" t="s">
        <v>31</v>
      </c>
      <c r="P8" s="147">
        <f>I14</f>
        <v>230</v>
      </c>
      <c r="Q8" s="262">
        <f>'Input-Results'!U12</f>
        <v>3</v>
      </c>
      <c r="S8" s="63" t="s">
        <v>163</v>
      </c>
      <c r="T8" s="185">
        <f>E6</f>
        <v>0.21618336000000002</v>
      </c>
      <c r="U8" s="131" t="s">
        <v>2</v>
      </c>
      <c r="V8" s="128" t="s">
        <v>31</v>
      </c>
      <c r="W8" s="102">
        <f>E20</f>
        <v>219.0063578357277</v>
      </c>
      <c r="X8" s="261">
        <f>'Input-Results'!T12</f>
        <v>4.8</v>
      </c>
    </row>
    <row r="9" spans="3:24" x14ac:dyDescent="0.2">
      <c r="C9" s="63"/>
      <c r="D9" s="53"/>
      <c r="E9" s="152"/>
      <c r="F9" s="181"/>
      <c r="G9" s="57" t="s">
        <v>104</v>
      </c>
      <c r="H9" s="57"/>
      <c r="I9" s="146">
        <f>'Input-Results'!U10</f>
        <v>2.4861999999999997</v>
      </c>
      <c r="J9" s="64" t="s">
        <v>2</v>
      </c>
      <c r="L9" s="141"/>
      <c r="M9" s="337">
        <f>M8/1000/60</f>
        <v>9.6081493333333336E-5</v>
      </c>
      <c r="N9" s="145" t="s">
        <v>3</v>
      </c>
      <c r="O9" s="142" t="s">
        <v>31</v>
      </c>
      <c r="P9" s="147">
        <f>P8</f>
        <v>230</v>
      </c>
      <c r="Q9" s="262">
        <f>Q8</f>
        <v>3</v>
      </c>
      <c r="S9" s="63"/>
      <c r="T9" s="339">
        <f>T8/1000/60</f>
        <v>3.6030560000000003E-6</v>
      </c>
      <c r="U9" s="131" t="s">
        <v>3</v>
      </c>
      <c r="V9" s="128" t="s">
        <v>31</v>
      </c>
      <c r="W9" s="102">
        <f>W8</f>
        <v>219.0063578357277</v>
      </c>
      <c r="X9" s="261">
        <f>X8</f>
        <v>4.8</v>
      </c>
    </row>
    <row r="10" spans="3:24" x14ac:dyDescent="0.2">
      <c r="C10" s="63" t="s">
        <v>45</v>
      </c>
      <c r="D10" s="53"/>
      <c r="E10" s="152">
        <f>E6+E7+E8</f>
        <v>9.5837724959999999</v>
      </c>
      <c r="F10" s="181" t="s">
        <v>2</v>
      </c>
      <c r="G10" s="57" t="s">
        <v>45</v>
      </c>
      <c r="H10" s="57"/>
      <c r="I10" s="146">
        <f>I6+I7+I8+I9</f>
        <v>9.5008540799999999</v>
      </c>
      <c r="J10" s="64" t="s">
        <v>2</v>
      </c>
      <c r="L10" s="141" t="s">
        <v>65</v>
      </c>
      <c r="M10" s="146">
        <f>I7</f>
        <v>0.19352448000000003</v>
      </c>
      <c r="N10" s="145" t="s">
        <v>2</v>
      </c>
      <c r="O10" s="142" t="s">
        <v>31</v>
      </c>
      <c r="P10" s="147">
        <f>P12</f>
        <v>230</v>
      </c>
      <c r="Q10" s="262">
        <f>Q12</f>
        <v>3</v>
      </c>
      <c r="S10" s="63" t="s">
        <v>90</v>
      </c>
      <c r="T10" s="185">
        <f>E7</f>
        <v>1.4457891359999999</v>
      </c>
      <c r="U10" s="131" t="s">
        <v>2</v>
      </c>
      <c r="V10" s="128" t="s">
        <v>31</v>
      </c>
      <c r="W10" s="102">
        <f t="shared" ref="W10:X11" si="0">W9</f>
        <v>219.0063578357277</v>
      </c>
      <c r="X10" s="261">
        <f t="shared" si="0"/>
        <v>4.8</v>
      </c>
    </row>
    <row r="11" spans="3:24" x14ac:dyDescent="0.2">
      <c r="C11" s="63" t="s">
        <v>45</v>
      </c>
      <c r="D11" s="53"/>
      <c r="E11" s="338">
        <f>E10/1000/60</f>
        <v>1.5972954160000001E-4</v>
      </c>
      <c r="F11" s="53" t="s">
        <v>3</v>
      </c>
      <c r="G11" s="57" t="s">
        <v>46</v>
      </c>
      <c r="H11" s="57"/>
      <c r="I11" s="337">
        <f>I10/1000/60</f>
        <v>1.5834756799999999E-4</v>
      </c>
      <c r="J11" s="64" t="s">
        <v>3</v>
      </c>
      <c r="L11" s="141"/>
      <c r="M11" s="337">
        <f>M10/1000/60</f>
        <v>3.2254080000000003E-6</v>
      </c>
      <c r="N11" s="145" t="s">
        <v>3</v>
      </c>
      <c r="O11" s="142" t="s">
        <v>31</v>
      </c>
      <c r="P11" s="147">
        <f t="shared" ref="P11:Q11" si="1">P10</f>
        <v>230</v>
      </c>
      <c r="Q11" s="262">
        <f t="shared" si="1"/>
        <v>3</v>
      </c>
      <c r="S11" s="63"/>
      <c r="T11" s="339">
        <f>T10/1000/60</f>
        <v>2.4096485600000001E-5</v>
      </c>
      <c r="U11" s="131" t="s">
        <v>3</v>
      </c>
      <c r="V11" s="128" t="s">
        <v>31</v>
      </c>
      <c r="W11" s="102">
        <f t="shared" si="0"/>
        <v>219.0063578357277</v>
      </c>
      <c r="X11" s="261">
        <f t="shared" si="0"/>
        <v>4.8</v>
      </c>
    </row>
    <row r="12" spans="3:24" ht="17" x14ac:dyDescent="0.25">
      <c r="C12" s="63" t="s">
        <v>4</v>
      </c>
      <c r="D12" s="53" t="s">
        <v>11</v>
      </c>
      <c r="E12" s="56">
        <f>'Interpolation 3'!DZ9</f>
        <v>3055.0626824565584</v>
      </c>
      <c r="F12" s="53" t="s">
        <v>0</v>
      </c>
      <c r="G12" s="57" t="s">
        <v>4</v>
      </c>
      <c r="H12" s="57" t="s">
        <v>12</v>
      </c>
      <c r="I12" s="59">
        <f>'Interpolation 3'!J9</f>
        <v>2354.1596667334566</v>
      </c>
      <c r="J12" s="64" t="s">
        <v>0</v>
      </c>
      <c r="L12" s="141" t="s">
        <v>103</v>
      </c>
      <c r="M12" s="146">
        <f>I8</f>
        <v>1.0562400000000001</v>
      </c>
      <c r="N12" s="145" t="s">
        <v>2</v>
      </c>
      <c r="O12" s="142" t="s">
        <v>31</v>
      </c>
      <c r="P12" s="147">
        <f>P14</f>
        <v>230</v>
      </c>
      <c r="Q12" s="262">
        <f>Q14</f>
        <v>3</v>
      </c>
      <c r="S12" s="63" t="s">
        <v>103</v>
      </c>
      <c r="T12" s="152">
        <f>E8</f>
        <v>7.9217999999999993</v>
      </c>
      <c r="U12" s="131" t="s">
        <v>2</v>
      </c>
      <c r="V12" s="128" t="s">
        <v>31</v>
      </c>
      <c r="W12" s="102">
        <f t="shared" ref="W12:X12" si="2">W11</f>
        <v>219.0063578357277</v>
      </c>
      <c r="X12" s="261">
        <f t="shared" si="2"/>
        <v>4.8</v>
      </c>
    </row>
    <row r="13" spans="3:24" ht="17" x14ac:dyDescent="0.25">
      <c r="C13" s="63" t="s">
        <v>5</v>
      </c>
      <c r="D13" s="53" t="s">
        <v>6</v>
      </c>
      <c r="E13" s="55">
        <f>E11*E12</f>
        <v>0.48798376182805248</v>
      </c>
      <c r="F13" s="53" t="s">
        <v>19</v>
      </c>
      <c r="G13" s="57" t="s">
        <v>5</v>
      </c>
      <c r="H13" s="57" t="s">
        <v>13</v>
      </c>
      <c r="I13" s="58">
        <f>I11*I12</f>
        <v>0.37277545791093331</v>
      </c>
      <c r="J13" s="64" t="s">
        <v>8</v>
      </c>
      <c r="L13" s="141"/>
      <c r="M13" s="337">
        <f>M12/1000/60</f>
        <v>1.7604000000000003E-5</v>
      </c>
      <c r="N13" s="145" t="s">
        <v>3</v>
      </c>
      <c r="O13" s="142" t="s">
        <v>31</v>
      </c>
      <c r="P13" s="147">
        <f t="shared" ref="P13:Q13" si="3">P12</f>
        <v>230</v>
      </c>
      <c r="Q13" s="262">
        <f t="shared" si="3"/>
        <v>3</v>
      </c>
      <c r="S13" s="63"/>
      <c r="T13" s="338">
        <f>T12/1000/60</f>
        <v>1.3202999999999999E-4</v>
      </c>
      <c r="U13" s="131" t="s">
        <v>3</v>
      </c>
      <c r="V13" s="128" t="s">
        <v>31</v>
      </c>
      <c r="W13" s="102">
        <f t="shared" ref="W13:X13" si="4">W12</f>
        <v>219.0063578357277</v>
      </c>
      <c r="X13" s="261">
        <f t="shared" si="4"/>
        <v>4.8</v>
      </c>
    </row>
    <row r="14" spans="3:24" ht="18" thickBot="1" x14ac:dyDescent="0.3">
      <c r="C14" s="86" t="s">
        <v>422</v>
      </c>
      <c r="D14" s="87" t="s">
        <v>16</v>
      </c>
      <c r="E14" s="165">
        <f>'V2'!C23</f>
        <v>201.72943261582441</v>
      </c>
      <c r="F14" s="87" t="s">
        <v>7</v>
      </c>
      <c r="G14" s="149" t="s">
        <v>423</v>
      </c>
      <c r="H14" s="149" t="s">
        <v>17</v>
      </c>
      <c r="I14" s="195">
        <f>'Input-Results'!D29</f>
        <v>230</v>
      </c>
      <c r="J14" s="151" t="s">
        <v>7</v>
      </c>
      <c r="L14" s="141" t="s">
        <v>104</v>
      </c>
      <c r="M14" s="146">
        <f>I9</f>
        <v>2.4861999999999997</v>
      </c>
      <c r="N14" s="145" t="s">
        <v>2</v>
      </c>
      <c r="O14" s="142" t="s">
        <v>31</v>
      </c>
      <c r="P14" s="147">
        <f>P8</f>
        <v>230</v>
      </c>
      <c r="Q14" s="262">
        <f>Q8</f>
        <v>3</v>
      </c>
      <c r="S14" s="63"/>
      <c r="T14" s="152"/>
      <c r="U14" s="131"/>
      <c r="V14" s="128"/>
      <c r="W14" s="102"/>
      <c r="X14" s="261"/>
    </row>
    <row r="15" spans="3:24" x14ac:dyDescent="0.2">
      <c r="C15" s="83" t="s">
        <v>59</v>
      </c>
      <c r="D15" s="84" t="s">
        <v>15</v>
      </c>
      <c r="E15" s="104">
        <f>'Input-Results'!D44</f>
        <v>0.8</v>
      </c>
      <c r="F15" s="260"/>
      <c r="G15" s="450"/>
      <c r="H15" s="450"/>
      <c r="I15" s="450"/>
      <c r="J15" s="451"/>
      <c r="L15" s="141"/>
      <c r="M15" s="337">
        <f>M14/1000/60</f>
        <v>4.1436666666666662E-5</v>
      </c>
      <c r="N15" s="145" t="s">
        <v>3</v>
      </c>
      <c r="O15" s="142" t="s">
        <v>31</v>
      </c>
      <c r="P15" s="147">
        <f t="shared" ref="P15:Q15" si="5">P14</f>
        <v>230</v>
      </c>
      <c r="Q15" s="262">
        <f t="shared" si="5"/>
        <v>3</v>
      </c>
      <c r="S15" s="63"/>
      <c r="T15" s="506"/>
      <c r="U15" s="131"/>
      <c r="V15" s="128"/>
      <c r="W15" s="102"/>
      <c r="X15" s="261"/>
    </row>
    <row r="16" spans="3:24" x14ac:dyDescent="0.2">
      <c r="C16" s="83" t="s">
        <v>52</v>
      </c>
      <c r="D16" s="85" t="s">
        <v>53</v>
      </c>
      <c r="E16" s="260">
        <f>'Input-Results'!D35</f>
        <v>1</v>
      </c>
      <c r="F16" s="61" t="s">
        <v>63</v>
      </c>
      <c r="G16" s="62"/>
      <c r="H16" s="62"/>
      <c r="I16" s="62"/>
      <c r="J16" s="66"/>
      <c r="L16" s="141"/>
      <c r="M16" s="57"/>
      <c r="N16" s="142"/>
      <c r="O16" s="142"/>
      <c r="P16" s="57"/>
      <c r="Q16" s="64"/>
      <c r="S16" s="63"/>
      <c r="T16" s="53"/>
      <c r="U16" s="53"/>
      <c r="V16" s="53"/>
      <c r="W16" s="102"/>
      <c r="X16" s="122"/>
    </row>
    <row r="17" spans="3:27" x14ac:dyDescent="0.2">
      <c r="C17" s="83" t="s">
        <v>56</v>
      </c>
      <c r="D17" s="85" t="s">
        <v>57</v>
      </c>
      <c r="E17" s="103">
        <f>MIN(E13,I13)/MAX(E13:I13)</f>
        <v>0.76390955410988792</v>
      </c>
      <c r="F17" s="61"/>
      <c r="G17" s="62"/>
      <c r="H17" s="62"/>
      <c r="I17" s="62"/>
      <c r="J17" s="66"/>
      <c r="L17" s="141" t="s">
        <v>164</v>
      </c>
      <c r="M17" s="146">
        <f>(1/461.52)*(100000*Q17/(P17+273))</f>
        <v>1.2922982128032636</v>
      </c>
      <c r="N17" s="145" t="s">
        <v>23</v>
      </c>
      <c r="O17" s="142" t="s">
        <v>31</v>
      </c>
      <c r="P17" s="147">
        <f>P8</f>
        <v>230</v>
      </c>
      <c r="Q17" s="262">
        <f>Q8</f>
        <v>3</v>
      </c>
      <c r="S17" s="63" t="s">
        <v>164</v>
      </c>
      <c r="T17" s="152">
        <f>(1/461.52)*(100000*X17/(W17+273))</f>
        <v>2.1138783779930708</v>
      </c>
      <c r="U17" s="131" t="s">
        <v>23</v>
      </c>
      <c r="V17" s="128" t="s">
        <v>31</v>
      </c>
      <c r="W17" s="102">
        <f>W11</f>
        <v>219.0063578357277</v>
      </c>
      <c r="X17" s="261">
        <f>X11</f>
        <v>4.8</v>
      </c>
    </row>
    <row r="18" spans="3:27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141" t="s">
        <v>91</v>
      </c>
      <c r="M18" s="58">
        <f>(1/4124.2)*(100000*Q18/(P18+273))</f>
        <v>0.14461506987366332</v>
      </c>
      <c r="N18" s="145" t="s">
        <v>23</v>
      </c>
      <c r="O18" s="142" t="s">
        <v>31</v>
      </c>
      <c r="P18" s="147">
        <f>P9</f>
        <v>230</v>
      </c>
      <c r="Q18" s="262">
        <f>Q9</f>
        <v>3</v>
      </c>
      <c r="S18" s="63" t="s">
        <v>91</v>
      </c>
      <c r="T18" s="55">
        <f>(1/4124.2)*(100000*X18/(W18+273))</f>
        <v>0.23655427695343631</v>
      </c>
      <c r="U18" s="131" t="s">
        <v>23</v>
      </c>
      <c r="V18" s="128"/>
      <c r="W18" s="102">
        <f>W17</f>
        <v>219.0063578357277</v>
      </c>
      <c r="X18" s="261">
        <f>X17</f>
        <v>4.8</v>
      </c>
      <c r="Z18" s="390">
        <f>(3600*T9/T17)</f>
        <v>6.1361153673915479E-3</v>
      </c>
      <c r="AA18" t="s">
        <v>25</v>
      </c>
    </row>
    <row r="19" spans="3:27" ht="17" x14ac:dyDescent="0.25">
      <c r="C19" s="65" t="s">
        <v>14</v>
      </c>
      <c r="D19" s="60" t="s">
        <v>18</v>
      </c>
      <c r="E19" s="105">
        <f>E18*MIN(E13,I13)*(I14-E14)</f>
        <v>8.4308589616303617</v>
      </c>
      <c r="F19" s="61" t="s">
        <v>1</v>
      </c>
      <c r="G19" s="62" t="s">
        <v>22</v>
      </c>
      <c r="H19" s="62"/>
      <c r="I19" s="62"/>
      <c r="J19" s="66"/>
      <c r="L19" s="141" t="s">
        <v>161</v>
      </c>
      <c r="M19" s="146">
        <f>(1/188.92)*(100000*Q19/(P19+273))</f>
        <v>3.1570054582519704</v>
      </c>
      <c r="N19" s="145" t="s">
        <v>23</v>
      </c>
      <c r="O19" s="142" t="s">
        <v>31</v>
      </c>
      <c r="P19" s="147">
        <f>P14</f>
        <v>230</v>
      </c>
      <c r="Q19" s="262">
        <f>Q14</f>
        <v>3</v>
      </c>
      <c r="S19" s="63" t="s">
        <v>161</v>
      </c>
      <c r="T19" s="152">
        <f>(1/188.92)*(100000*X19/(W19+273))</f>
        <v>5.164075529384724</v>
      </c>
      <c r="U19" s="131" t="s">
        <v>23</v>
      </c>
      <c r="V19" s="128" t="s">
        <v>31</v>
      </c>
      <c r="W19" s="102">
        <f>W10</f>
        <v>219.0063578357277</v>
      </c>
      <c r="X19" s="261">
        <f>X13</f>
        <v>4.8</v>
      </c>
      <c r="Z19" s="390">
        <f>(3600*T11/T18)</f>
        <v>0.36671223736561515</v>
      </c>
      <c r="AA19" t="s">
        <v>25</v>
      </c>
    </row>
    <row r="20" spans="3:27" ht="18" thickBot="1" x14ac:dyDescent="0.3">
      <c r="C20" s="86" t="s">
        <v>64</v>
      </c>
      <c r="D20" s="87" t="s">
        <v>20</v>
      </c>
      <c r="E20" s="165">
        <f>E14+E19/E13</f>
        <v>219.0063578357277</v>
      </c>
      <c r="F20" s="169" t="s">
        <v>7</v>
      </c>
      <c r="G20" s="170" t="s">
        <v>415</v>
      </c>
      <c r="H20" s="170" t="s">
        <v>21</v>
      </c>
      <c r="I20" s="171">
        <f>I14-E19/I13</f>
        <v>207.38354609265951</v>
      </c>
      <c r="J20" s="172" t="s">
        <v>7</v>
      </c>
      <c r="L20" s="141" t="s">
        <v>162</v>
      </c>
      <c r="M20" s="146">
        <f>(1/518.28)*(100000*Q20/(P20+273))</f>
        <v>1.1507707632418041</v>
      </c>
      <c r="N20" s="145" t="s">
        <v>23</v>
      </c>
      <c r="O20" s="142" t="s">
        <v>31</v>
      </c>
      <c r="P20" s="147">
        <f>P8</f>
        <v>230</v>
      </c>
      <c r="Q20" s="262">
        <f>Q8</f>
        <v>3</v>
      </c>
      <c r="S20" s="32"/>
      <c r="T20" s="152"/>
      <c r="U20" s="131"/>
      <c r="V20" s="128"/>
      <c r="W20" s="102"/>
      <c r="X20" s="261"/>
      <c r="Z20" s="390">
        <f>(3600*T13/T19)</f>
        <v>9.2041256425354948E-2</v>
      </c>
      <c r="AA20" t="s">
        <v>25</v>
      </c>
    </row>
    <row r="21" spans="3:27" x14ac:dyDescent="0.2">
      <c r="C21" s="268" t="s">
        <v>129</v>
      </c>
      <c r="D21" s="62"/>
      <c r="E21" s="62"/>
      <c r="F21" s="272">
        <f>E20</f>
        <v>219.0063578357277</v>
      </c>
      <c r="G21" s="62" t="s">
        <v>124</v>
      </c>
      <c r="H21" s="62">
        <f>'Input-Results'!D27</f>
        <v>230</v>
      </c>
      <c r="I21" s="62" t="s">
        <v>7</v>
      </c>
      <c r="J21" s="66"/>
      <c r="L21" s="141" t="s">
        <v>629</v>
      </c>
      <c r="M21" s="146">
        <f>1/(((I6/I10)/M17)+((I7/I10)/M18)+((I8/I10)/M19)+((I9/I10)/M20))</f>
        <v>1.1454818708537227</v>
      </c>
      <c r="N21" s="145" t="s">
        <v>23</v>
      </c>
      <c r="O21" s="142" t="s">
        <v>31</v>
      </c>
      <c r="P21" s="147">
        <f>P9</f>
        <v>230</v>
      </c>
      <c r="Q21" s="262">
        <f>Q9</f>
        <v>3</v>
      </c>
      <c r="S21" s="63" t="s">
        <v>629</v>
      </c>
      <c r="T21" s="152">
        <f>1/(((E6/E10)/T17)+((E7/E10)/T18)+((E8/E10)/T19))</f>
        <v>1.2369094478171505</v>
      </c>
      <c r="U21" s="131" t="s">
        <v>23</v>
      </c>
      <c r="V21" s="128" t="s">
        <v>31</v>
      </c>
      <c r="W21" s="102">
        <f>W9</f>
        <v>219.0063578357277</v>
      </c>
      <c r="X21" s="261">
        <f>X9</f>
        <v>4.8</v>
      </c>
    </row>
    <row r="22" spans="3:27" ht="17" x14ac:dyDescent="0.25">
      <c r="C22" s="65" t="s">
        <v>125</v>
      </c>
      <c r="D22" s="60" t="s">
        <v>126</v>
      </c>
      <c r="E22" s="271">
        <f>'Interpolation 3'!AD9</f>
        <v>3069.591072351182</v>
      </c>
      <c r="F22" s="61" t="s">
        <v>632</v>
      </c>
      <c r="G22" s="272">
        <f>F21</f>
        <v>219.0063578357277</v>
      </c>
      <c r="H22" s="62" t="s">
        <v>7</v>
      </c>
      <c r="I22" s="62"/>
      <c r="J22" s="66"/>
      <c r="L22" s="141"/>
      <c r="M22" s="57"/>
      <c r="N22" s="142"/>
      <c r="O22" s="142"/>
      <c r="P22" s="57"/>
      <c r="Q22" s="64"/>
      <c r="S22" s="63"/>
      <c r="T22" s="53"/>
      <c r="U22" s="53"/>
      <c r="V22" s="53"/>
      <c r="W22" s="53"/>
      <c r="X22" s="122"/>
    </row>
    <row r="23" spans="3:27" ht="17" x14ac:dyDescent="0.25">
      <c r="C23" s="65" t="s">
        <v>131</v>
      </c>
      <c r="D23" s="60" t="s">
        <v>27</v>
      </c>
      <c r="E23" s="60">
        <f>'Input-Results'!D27</f>
        <v>230</v>
      </c>
      <c r="F23" s="61" t="s">
        <v>7</v>
      </c>
      <c r="G23" s="62"/>
      <c r="H23" s="62"/>
      <c r="I23" s="62"/>
      <c r="J23" s="66"/>
      <c r="L23" s="141" t="s">
        <v>184</v>
      </c>
      <c r="M23" s="765">
        <f>(3600*M9/M17)+(3600*M15/M20)+(3600*M11/M18)+(3600*M13/M19)</f>
        <v>0.49765191340404485</v>
      </c>
      <c r="N23" s="145" t="s">
        <v>25</v>
      </c>
      <c r="O23" s="142" t="s">
        <v>31</v>
      </c>
      <c r="P23" s="147">
        <f>P8</f>
        <v>230</v>
      </c>
      <c r="Q23" s="262">
        <f>Q8</f>
        <v>3</v>
      </c>
      <c r="S23" s="63" t="s">
        <v>568</v>
      </c>
      <c r="T23" s="152">
        <f>(3600*T9/T17)+(3600*T11/T18)+(3600*T13/T19)</f>
        <v>0.46488960915836164</v>
      </c>
      <c r="U23" s="131" t="s">
        <v>25</v>
      </c>
      <c r="V23" s="128" t="s">
        <v>31</v>
      </c>
      <c r="W23" s="102">
        <f>W18</f>
        <v>219.0063578357277</v>
      </c>
      <c r="X23" s="261">
        <f>X18</f>
        <v>4.8</v>
      </c>
    </row>
    <row r="24" spans="3:27" ht="16" thickBot="1" x14ac:dyDescent="0.25">
      <c r="C24" s="273" t="s">
        <v>626</v>
      </c>
      <c r="D24" s="270" t="s">
        <v>128</v>
      </c>
      <c r="E24" s="274">
        <f>E11*E22*(E23-E20)</f>
        <v>5.3902308490750768</v>
      </c>
      <c r="F24" s="275" t="s">
        <v>1</v>
      </c>
      <c r="G24" s="269"/>
      <c r="H24" s="269"/>
      <c r="I24" s="269"/>
      <c r="J24" s="276"/>
      <c r="L24" s="141"/>
      <c r="M24" s="147">
        <f>M23*1000/60</f>
        <v>8.2941985567340808</v>
      </c>
      <c r="N24" s="145" t="s">
        <v>49</v>
      </c>
      <c r="O24" s="142" t="s">
        <v>31</v>
      </c>
      <c r="P24" s="147">
        <f>P8</f>
        <v>230</v>
      </c>
      <c r="Q24" s="262">
        <f>Q8</f>
        <v>3</v>
      </c>
      <c r="S24" s="63"/>
      <c r="T24" s="102">
        <f>T23*1000/60</f>
        <v>7.7481601526393602</v>
      </c>
      <c r="U24" s="131" t="s">
        <v>49</v>
      </c>
      <c r="V24" s="128" t="s">
        <v>31</v>
      </c>
      <c r="W24" s="102">
        <f>W23</f>
        <v>219.0063578357277</v>
      </c>
      <c r="X24" s="122">
        <f>X23</f>
        <v>4.8</v>
      </c>
    </row>
    <row r="25" spans="3:27" ht="16" thickBot="1" x14ac:dyDescent="0.25">
      <c r="K25" s="5"/>
      <c r="L25" s="141"/>
      <c r="M25" s="57"/>
      <c r="N25" s="142"/>
      <c r="O25" s="142"/>
      <c r="P25" s="57"/>
      <c r="Q25" s="64"/>
      <c r="S25" s="63"/>
      <c r="T25" s="53"/>
      <c r="U25" s="53"/>
      <c r="V25" s="53"/>
      <c r="W25" s="102"/>
      <c r="X25" s="122"/>
    </row>
    <row r="26" spans="3:27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K26" s="5"/>
      <c r="L26" s="141" t="s">
        <v>191</v>
      </c>
      <c r="M26" s="146">
        <f>M23*(P26+273)/(I14+273)</f>
        <v>0.47527592620443776</v>
      </c>
      <c r="N26" s="145" t="s">
        <v>25</v>
      </c>
      <c r="O26" s="142" t="s">
        <v>31</v>
      </c>
      <c r="P26" s="147">
        <f>I20</f>
        <v>207.38354609265951</v>
      </c>
      <c r="Q26" s="262">
        <f>Q23</f>
        <v>3</v>
      </c>
      <c r="S26" s="63" t="s">
        <v>184</v>
      </c>
      <c r="T26" s="152">
        <f>T23*(W26+273)/(E20+273)</f>
        <v>0.44856489529029248</v>
      </c>
      <c r="U26" s="131" t="s">
        <v>25</v>
      </c>
      <c r="V26" s="128" t="s">
        <v>31</v>
      </c>
      <c r="W26" s="102">
        <f>E14</f>
        <v>201.72943261582441</v>
      </c>
      <c r="X26" s="261">
        <f>X8</f>
        <v>4.8</v>
      </c>
    </row>
    <row r="27" spans="3:27" x14ac:dyDescent="0.2">
      <c r="C27" s="213" t="s">
        <v>179</v>
      </c>
      <c r="D27" s="360">
        <f>I14</f>
        <v>230</v>
      </c>
      <c r="E27" s="371" t="s">
        <v>7</v>
      </c>
      <c r="F27" s="361"/>
      <c r="G27" s="93" t="s">
        <v>180</v>
      </c>
      <c r="H27" s="309">
        <f>I20</f>
        <v>207.38354609265951</v>
      </c>
      <c r="I27" s="374" t="s">
        <v>7</v>
      </c>
      <c r="J27" s="369"/>
      <c r="K27" s="5"/>
      <c r="L27" s="141"/>
      <c r="M27" s="59">
        <f>M26*1000/60</f>
        <v>7.9212654367406294</v>
      </c>
      <c r="N27" s="145" t="s">
        <v>49</v>
      </c>
      <c r="O27" s="142" t="s">
        <v>31</v>
      </c>
      <c r="P27" s="147">
        <f>P26</f>
        <v>207.38354609265951</v>
      </c>
      <c r="Q27" s="262">
        <f>Q26</f>
        <v>3</v>
      </c>
      <c r="S27" s="63"/>
      <c r="T27" s="56">
        <f>T26*1000/60</f>
        <v>7.4760815881715414</v>
      </c>
      <c r="U27" s="131" t="s">
        <v>49</v>
      </c>
      <c r="V27" s="128" t="s">
        <v>31</v>
      </c>
      <c r="W27" s="102">
        <f>W26</f>
        <v>201.72943261582441</v>
      </c>
      <c r="X27" s="122">
        <f>X26</f>
        <v>4.8</v>
      </c>
    </row>
    <row r="28" spans="3:27" x14ac:dyDescent="0.2">
      <c r="C28" s="96" t="s">
        <v>178</v>
      </c>
      <c r="D28" s="335">
        <f>0.01*0.61078*EXP((17.27*D27)/(D27+237.3))</f>
        <v>30.021637195444413</v>
      </c>
      <c r="E28" s="372" t="s">
        <v>177</v>
      </c>
      <c r="F28" s="359"/>
      <c r="G28" s="93" t="s">
        <v>178</v>
      </c>
      <c r="H28" s="94">
        <f>0.01*0.61078*EXP((17.27*H27)/(H27+237.3))</f>
        <v>19.218715815145782</v>
      </c>
      <c r="I28" s="374" t="s">
        <v>177</v>
      </c>
      <c r="J28" s="369"/>
      <c r="K28" s="5"/>
      <c r="L28" s="141" t="s">
        <v>192</v>
      </c>
      <c r="M28" s="146">
        <f>((3600*(M15/M20))*(I20+273)/(I14+273))</f>
        <v>0.12379942614586963</v>
      </c>
      <c r="N28" s="145" t="s">
        <v>25</v>
      </c>
      <c r="O28" s="142" t="s">
        <v>31</v>
      </c>
      <c r="P28" s="147">
        <f>I20</f>
        <v>207.38354609265951</v>
      </c>
      <c r="Q28" s="262">
        <f>Q17</f>
        <v>3</v>
      </c>
      <c r="S28" s="63"/>
      <c r="T28" s="53"/>
      <c r="U28" s="53"/>
      <c r="V28" s="53"/>
      <c r="W28" s="53"/>
      <c r="X28" s="122"/>
    </row>
    <row r="29" spans="3:27" x14ac:dyDescent="0.2">
      <c r="C29" s="336" t="s">
        <v>183</v>
      </c>
      <c r="D29" s="362">
        <f>(('Input-Results'!L7/60)*8.3144598*(D27+273)/(M23/3600))/100000</f>
        <v>1.6135319648472057</v>
      </c>
      <c r="E29" s="373" t="s">
        <v>177</v>
      </c>
      <c r="F29" s="363"/>
      <c r="G29" s="93" t="s">
        <v>183</v>
      </c>
      <c r="H29" s="94">
        <f>(('Input-Results'!L7/60)*8.3144598*(H27+273)/(M26/3600))/100000</f>
        <v>1.6135319648472057</v>
      </c>
      <c r="I29" s="374" t="s">
        <v>177</v>
      </c>
      <c r="J29" s="369"/>
      <c r="K29" s="5"/>
      <c r="L29" s="141"/>
      <c r="M29" s="59">
        <f>M28*1000/60</f>
        <v>2.0633237690978272</v>
      </c>
      <c r="N29" s="145" t="s">
        <v>49</v>
      </c>
      <c r="O29" s="142" t="s">
        <v>31</v>
      </c>
      <c r="P29" s="147">
        <f>P28</f>
        <v>207.38354609265951</v>
      </c>
      <c r="Q29" s="262">
        <f>Q28</f>
        <v>3</v>
      </c>
      <c r="S29" s="63"/>
      <c r="T29" s="53"/>
      <c r="U29" s="53"/>
      <c r="V29" s="53"/>
      <c r="W29" s="53"/>
      <c r="X29" s="122"/>
    </row>
    <row r="30" spans="3:27" ht="19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K30" s="5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7" ht="20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K31" s="5"/>
      <c r="L31" s="141"/>
      <c r="M31" s="57"/>
      <c r="N31" s="142"/>
      <c r="O31" s="142"/>
      <c r="P31" s="57"/>
      <c r="Q31" s="64"/>
      <c r="S31" s="63"/>
      <c r="T31" s="53"/>
      <c r="U31" s="53"/>
      <c r="V31" s="53"/>
      <c r="W31" s="53"/>
      <c r="X31" s="122"/>
    </row>
    <row r="32" spans="3:27" ht="15.5" customHeight="1" thickBot="1" x14ac:dyDescent="0.25">
      <c r="C32" s="5"/>
      <c r="D32" s="5"/>
      <c r="E32" s="167"/>
      <c r="F32" s="5"/>
      <c r="G32" s="433" t="s">
        <v>231</v>
      </c>
      <c r="H32" s="436">
        <f>(237.3*LN(((H29*100)/0.61078)))/(17.27-(LN(((H29*100)/0.61078))))</f>
        <v>113.16915092315458</v>
      </c>
      <c r="I32" s="434" t="s">
        <v>7</v>
      </c>
      <c r="J32" s="435"/>
      <c r="K32" s="5"/>
      <c r="L32" s="141" t="s">
        <v>184</v>
      </c>
      <c r="M32" s="147">
        <f>M24*((P32+273)/($P$24+273))*($Q$24/Q32)</f>
        <v>13.331557776667172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 t="s">
        <v>568</v>
      </c>
      <c r="T32" s="102">
        <f>T24*((W32+273)/(W8+273))*(X24/X32)</f>
        <v>20.371467391061831</v>
      </c>
      <c r="U32" s="131" t="s">
        <v>50</v>
      </c>
      <c r="V32" s="128" t="s">
        <v>31</v>
      </c>
      <c r="W32" s="53">
        <v>0</v>
      </c>
      <c r="X32" s="122">
        <v>1.0129999999999999</v>
      </c>
    </row>
    <row r="33" spans="2:24" x14ac:dyDescent="0.2">
      <c r="K33" s="5"/>
      <c r="L33" s="141"/>
      <c r="M33" s="147">
        <f>M24*((P33+273)/($P$24+273))*($Q$24/Q33)</f>
        <v>14.308228676056707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T24*((W33+273)/(W8+273))*(X24/X33)</f>
        <v>21.863882584546218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6" thickBot="1" x14ac:dyDescent="0.25">
      <c r="K34" s="5"/>
      <c r="L34" s="141"/>
      <c r="M34" s="147">
        <f>M24*2.119*((273+P34)/(273+P24))*(Q24/Q34)</f>
        <v>30.319136564564165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T24*2.119*((273+W34)/(273+W8))*(X24/X34)</f>
        <v>46.329567196653436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1</v>
      </c>
      <c r="E35" s="118" t="s">
        <v>62</v>
      </c>
      <c r="F35" s="116"/>
      <c r="J35" s="5"/>
      <c r="K35" s="5"/>
      <c r="L35" s="148"/>
      <c r="M35" s="195">
        <f>M34/60</f>
        <v>0.50531894274273603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0.77215945327755731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6" thickBot="1" x14ac:dyDescent="0.25">
      <c r="C36" s="2"/>
      <c r="D36" s="120"/>
      <c r="E36" s="2"/>
      <c r="F36" s="121"/>
      <c r="J36" s="5"/>
      <c r="K36" s="5"/>
      <c r="L36" t="s">
        <v>193</v>
      </c>
    </row>
    <row r="37" spans="2:24" ht="20" thickBot="1" x14ac:dyDescent="0.3">
      <c r="B37" s="70">
        <f>I20</f>
        <v>207.38354609265951</v>
      </c>
      <c r="C37" s="90" t="s">
        <v>7</v>
      </c>
      <c r="D37" s="110"/>
      <c r="E37" s="2"/>
      <c r="F37" s="114"/>
      <c r="G37" s="199">
        <f>I14</f>
        <v>230</v>
      </c>
      <c r="H37" s="68" t="s">
        <v>7</v>
      </c>
      <c r="I37" s="68"/>
      <c r="K37" s="5"/>
      <c r="L37" s="774" t="s">
        <v>197</v>
      </c>
      <c r="M37" s="775">
        <f>I11*I12*(273+I14)</f>
        <v>187.50605532919946</v>
      </c>
      <c r="N37" s="776" t="s">
        <v>1</v>
      </c>
      <c r="O37" s="780" t="s">
        <v>31</v>
      </c>
      <c r="P37" s="781">
        <f>I14</f>
        <v>230</v>
      </c>
      <c r="Q37" s="782">
        <f>Q8</f>
        <v>3</v>
      </c>
      <c r="S37" s="777" t="s">
        <v>196</v>
      </c>
      <c r="T37" s="778">
        <f>E11*'Interpolation 3'!BR9*(273+E23)</f>
        <v>246.3413610027871</v>
      </c>
      <c r="U37" s="779" t="s">
        <v>1</v>
      </c>
      <c r="V37" s="779" t="s">
        <v>31</v>
      </c>
      <c r="W37" s="779">
        <f>E23</f>
        <v>230</v>
      </c>
      <c r="X37" s="783">
        <f>X8</f>
        <v>4.8</v>
      </c>
    </row>
    <row r="38" spans="2:24" ht="19" x14ac:dyDescent="0.25">
      <c r="B38" s="264">
        <f>I10</f>
        <v>9.5008540799999999</v>
      </c>
      <c r="C38" s="68" t="s">
        <v>111</v>
      </c>
      <c r="D38" s="111"/>
      <c r="E38" s="2"/>
      <c r="F38" s="112"/>
      <c r="G38" s="200">
        <f>I10</f>
        <v>9.5008540799999999</v>
      </c>
      <c r="H38" s="68" t="s">
        <v>111</v>
      </c>
      <c r="I38" s="68"/>
      <c r="J38" s="5"/>
      <c r="K38" s="174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  <c r="J39" s="5"/>
      <c r="K39" s="179"/>
    </row>
    <row r="40" spans="2:24" ht="19" x14ac:dyDescent="0.25">
      <c r="B40" s="449">
        <f>E14</f>
        <v>201.72943261582441</v>
      </c>
      <c r="C40" s="89" t="s">
        <v>7</v>
      </c>
      <c r="D40" s="112"/>
      <c r="E40" s="2"/>
      <c r="F40" s="112"/>
      <c r="G40" s="91">
        <f>E20</f>
        <v>219.0063578357277</v>
      </c>
      <c r="H40" s="67" t="s">
        <v>7</v>
      </c>
      <c r="I40" s="69"/>
      <c r="J40" s="5"/>
      <c r="K40" s="5"/>
    </row>
    <row r="41" spans="2:24" ht="20" thickBot="1" x14ac:dyDescent="0.3">
      <c r="B41" s="180">
        <f>E10</f>
        <v>9.5837724959999999</v>
      </c>
      <c r="C41" s="67" t="s">
        <v>584</v>
      </c>
      <c r="D41" s="113"/>
      <c r="E41" s="2"/>
      <c r="F41" s="115"/>
      <c r="G41" s="180">
        <f>B41</f>
        <v>9.5837724959999999</v>
      </c>
      <c r="H41" s="67" t="s">
        <v>584</v>
      </c>
      <c r="I41" s="69"/>
      <c r="J41" s="5"/>
      <c r="K41" s="5"/>
    </row>
    <row r="42" spans="2:24" ht="16" thickBot="1" x14ac:dyDescent="0.25">
      <c r="D42" s="120"/>
      <c r="E42" s="2"/>
      <c r="F42" s="121"/>
      <c r="J42" s="5"/>
      <c r="K42" s="5"/>
      <c r="R42" s="5"/>
      <c r="S42" s="5"/>
    </row>
    <row r="43" spans="2:24" ht="20" thickBot="1" x14ac:dyDescent="0.3">
      <c r="D43" s="100" t="s">
        <v>61</v>
      </c>
      <c r="E43" s="117">
        <f>E19</f>
        <v>8.4308589616303617</v>
      </c>
      <c r="F43" s="101" t="s">
        <v>1</v>
      </c>
      <c r="J43" s="174"/>
      <c r="K43" s="5"/>
      <c r="R43" s="5"/>
      <c r="S43" s="5"/>
    </row>
    <row r="44" spans="2:24" ht="19" x14ac:dyDescent="0.2">
      <c r="F44" s="3"/>
      <c r="J44" s="178"/>
      <c r="S44" s="390"/>
    </row>
  </sheetData>
  <mergeCells count="4">
    <mergeCell ref="C31:F31"/>
    <mergeCell ref="G31:J31"/>
    <mergeCell ref="C30:F30"/>
    <mergeCell ref="G30:J30"/>
  </mergeCells>
  <conditionalFormatting sqref="C31 G31">
    <cfRule type="cellIs" dxfId="17" priority="1" operator="equal">
      <formula>"NO CONDENSATION"</formula>
    </cfRule>
    <cfRule type="cellIs" dxfId="16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B1:X44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418</v>
      </c>
    </row>
    <row r="3" spans="3:24" ht="6" customHeight="1" thickBot="1" x14ac:dyDescent="0.25"/>
    <row r="4" spans="3:24" x14ac:dyDescent="0.2">
      <c r="C4" s="71" t="s">
        <v>9</v>
      </c>
      <c r="D4" s="72"/>
      <c r="E4" s="72"/>
      <c r="F4" s="73"/>
      <c r="G4" s="74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79"/>
      <c r="G5" s="80"/>
      <c r="H5" s="81"/>
      <c r="I5" s="81"/>
      <c r="J5" s="82"/>
      <c r="L5" s="137"/>
      <c r="M5" s="138"/>
      <c r="N5" s="139"/>
      <c r="O5" s="139"/>
      <c r="P5" s="138"/>
      <c r="Q5" s="140"/>
      <c r="S5" s="32"/>
      <c r="T5" s="33"/>
      <c r="U5" s="127"/>
      <c r="V5" s="127"/>
      <c r="W5" s="33"/>
      <c r="X5" s="35"/>
    </row>
    <row r="6" spans="3:24" x14ac:dyDescent="0.2">
      <c r="C6" s="63" t="s">
        <v>293</v>
      </c>
      <c r="D6" s="53"/>
      <c r="E6" s="152">
        <f>'Input-Results'!Q7</f>
        <v>15.853446400000001</v>
      </c>
      <c r="F6" s="53" t="s">
        <v>2</v>
      </c>
      <c r="G6" s="107" t="s">
        <v>403</v>
      </c>
      <c r="H6" s="57"/>
      <c r="I6" s="146">
        <f>'Input-Results'!S6</f>
        <v>11.519568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63"/>
      <c r="T6" s="53"/>
      <c r="U6" s="128"/>
      <c r="V6" s="128"/>
      <c r="W6" s="129" t="s">
        <v>29</v>
      </c>
      <c r="X6" s="130" t="s">
        <v>30</v>
      </c>
    </row>
    <row r="7" spans="3:24" x14ac:dyDescent="0.2">
      <c r="C7" s="63"/>
      <c r="D7" s="53"/>
      <c r="E7" s="53"/>
      <c r="F7" s="181"/>
      <c r="G7" s="57" t="s">
        <v>35</v>
      </c>
      <c r="H7" s="182"/>
      <c r="I7" s="146">
        <f>'Input-Results'!S5</f>
        <v>28.97</v>
      </c>
      <c r="J7" s="64" t="s">
        <v>2</v>
      </c>
      <c r="L7" s="141"/>
      <c r="M7" s="57"/>
      <c r="N7" s="142"/>
      <c r="O7" s="142"/>
      <c r="P7" s="143"/>
      <c r="Q7" s="144"/>
      <c r="S7" s="63"/>
      <c r="T7" s="53"/>
      <c r="U7" s="128"/>
      <c r="V7" s="128"/>
      <c r="W7" s="129"/>
      <c r="X7" s="130"/>
    </row>
    <row r="8" spans="3:24" x14ac:dyDescent="0.2">
      <c r="C8" s="63"/>
      <c r="D8" s="53"/>
      <c r="E8" s="53"/>
      <c r="F8" s="181"/>
      <c r="G8" s="57"/>
      <c r="H8" s="182"/>
      <c r="I8" s="146"/>
      <c r="J8" s="64"/>
      <c r="L8" s="141" t="s">
        <v>86</v>
      </c>
      <c r="M8" s="146">
        <f>I6</f>
        <v>11.519568</v>
      </c>
      <c r="N8" s="145" t="s">
        <v>2</v>
      </c>
      <c r="O8" s="142" t="s">
        <v>31</v>
      </c>
      <c r="P8" s="147">
        <f>I14</f>
        <v>341.31963464747065</v>
      </c>
      <c r="Q8" s="64">
        <f>'Input-Results'!P12</f>
        <v>1.02</v>
      </c>
      <c r="S8" s="63" t="s">
        <v>163</v>
      </c>
      <c r="T8" s="152">
        <f>E6</f>
        <v>15.853446400000001</v>
      </c>
      <c r="U8" s="131" t="s">
        <v>2</v>
      </c>
      <c r="V8" s="128" t="s">
        <v>31</v>
      </c>
      <c r="W8" s="102">
        <f>E20</f>
        <v>229.11693733301706</v>
      </c>
      <c r="X8" s="723">
        <f>Condensers!O13</f>
        <v>27.96</v>
      </c>
    </row>
    <row r="9" spans="3:24" x14ac:dyDescent="0.2">
      <c r="C9" s="63"/>
      <c r="D9" s="53"/>
      <c r="E9" s="53"/>
      <c r="F9" s="181"/>
      <c r="G9" s="57"/>
      <c r="H9" s="182"/>
      <c r="I9" s="146"/>
      <c r="J9" s="64"/>
      <c r="L9" s="141"/>
      <c r="M9" s="166">
        <f>M8/1000/60</f>
        <v>1.9199279999999999E-4</v>
      </c>
      <c r="N9" s="145" t="s">
        <v>3</v>
      </c>
      <c r="O9" s="142" t="s">
        <v>31</v>
      </c>
      <c r="P9" s="147">
        <f>P8</f>
        <v>341.31963464747065</v>
      </c>
      <c r="Q9" s="64">
        <f>Q8</f>
        <v>1.02</v>
      </c>
      <c r="S9" s="63"/>
      <c r="T9" s="338">
        <f>T8/1000/60</f>
        <v>2.6422410666666668E-4</v>
      </c>
      <c r="U9" s="131" t="s">
        <v>3</v>
      </c>
      <c r="V9" s="128" t="s">
        <v>31</v>
      </c>
      <c r="W9" s="53">
        <f>W8</f>
        <v>229.11693733301706</v>
      </c>
      <c r="X9" s="723">
        <f>X8</f>
        <v>27.96</v>
      </c>
    </row>
    <row r="10" spans="3:24" x14ac:dyDescent="0.2">
      <c r="C10" s="63" t="s">
        <v>46</v>
      </c>
      <c r="D10" s="53"/>
      <c r="E10" s="152">
        <f>E6</f>
        <v>15.853446400000001</v>
      </c>
      <c r="F10" s="53" t="s">
        <v>2</v>
      </c>
      <c r="G10" s="109" t="s">
        <v>45</v>
      </c>
      <c r="H10" s="57"/>
      <c r="I10" s="146">
        <f>I7+I6</f>
        <v>40.489567999999998</v>
      </c>
      <c r="J10" s="64" t="s">
        <v>2</v>
      </c>
      <c r="L10" s="141" t="s">
        <v>87</v>
      </c>
      <c r="M10" s="146">
        <f>I7</f>
        <v>28.97</v>
      </c>
      <c r="N10" s="145" t="s">
        <v>2</v>
      </c>
      <c r="O10" s="142" t="s">
        <v>31</v>
      </c>
      <c r="P10" s="147">
        <f t="shared" ref="P10:Q11" si="0">P9</f>
        <v>341.31963464747065</v>
      </c>
      <c r="Q10" s="64">
        <f t="shared" si="0"/>
        <v>1.02</v>
      </c>
      <c r="S10" s="63"/>
      <c r="T10" s="53"/>
      <c r="U10" s="53"/>
      <c r="V10" s="53"/>
      <c r="W10" s="53"/>
      <c r="X10" s="723"/>
    </row>
    <row r="11" spans="3:24" x14ac:dyDescent="0.2">
      <c r="C11" s="63" t="s">
        <v>627</v>
      </c>
      <c r="D11" s="53"/>
      <c r="E11" s="338">
        <f>E6/1000/60</f>
        <v>2.6422410666666668E-4</v>
      </c>
      <c r="F11" s="53" t="s">
        <v>3</v>
      </c>
      <c r="G11" s="57" t="s">
        <v>46</v>
      </c>
      <c r="H11" s="57"/>
      <c r="I11" s="337">
        <f>I10/1000/60</f>
        <v>6.7482613333333331E-4</v>
      </c>
      <c r="J11" s="64" t="s">
        <v>3</v>
      </c>
      <c r="L11" s="141"/>
      <c r="M11" s="166">
        <f>M10/1000/60</f>
        <v>4.8283333333333332E-4</v>
      </c>
      <c r="N11" s="145" t="s">
        <v>3</v>
      </c>
      <c r="O11" s="142" t="s">
        <v>31</v>
      </c>
      <c r="P11" s="147">
        <f t="shared" si="0"/>
        <v>341.31963464747065</v>
      </c>
      <c r="Q11" s="64">
        <f t="shared" si="0"/>
        <v>1.02</v>
      </c>
      <c r="S11" s="63"/>
      <c r="T11" s="53"/>
      <c r="U11" s="131"/>
      <c r="V11" s="128"/>
      <c r="W11" s="53"/>
      <c r="X11" s="723"/>
    </row>
    <row r="12" spans="3:24" ht="17" x14ac:dyDescent="0.25">
      <c r="C12" s="63" t="s">
        <v>4</v>
      </c>
      <c r="D12" s="53" t="s">
        <v>11</v>
      </c>
      <c r="E12" s="312">
        <v>4185</v>
      </c>
      <c r="F12" s="53" t="s">
        <v>0</v>
      </c>
      <c r="G12" s="57" t="s">
        <v>4</v>
      </c>
      <c r="H12" s="57" t="s">
        <v>12</v>
      </c>
      <c r="I12" s="59">
        <f>'Interpolation 1'!AC7</f>
        <v>1040.9433348657315</v>
      </c>
      <c r="J12" s="64" t="s">
        <v>0</v>
      </c>
      <c r="L12" s="141"/>
      <c r="M12" s="57"/>
      <c r="N12" s="142"/>
      <c r="O12" s="142"/>
      <c r="P12" s="57"/>
      <c r="Q12" s="64"/>
      <c r="S12" s="63"/>
      <c r="T12" s="53"/>
      <c r="U12" s="53"/>
      <c r="V12" s="53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1.1057778864000001</v>
      </c>
      <c r="F13" s="53" t="s">
        <v>19</v>
      </c>
      <c r="G13" s="57" t="s">
        <v>5</v>
      </c>
      <c r="H13" s="57" t="s">
        <v>13</v>
      </c>
      <c r="I13" s="58">
        <f>I11*I12</f>
        <v>0.70245576568654677</v>
      </c>
      <c r="J13" s="64" t="s">
        <v>8</v>
      </c>
      <c r="L13" s="141"/>
      <c r="M13" s="57"/>
      <c r="N13" s="142"/>
      <c r="O13" s="142"/>
      <c r="P13" s="57"/>
      <c r="Q13" s="64"/>
      <c r="S13" s="63"/>
      <c r="T13" s="53"/>
      <c r="U13" s="53"/>
      <c r="V13" s="53"/>
      <c r="W13" s="53"/>
      <c r="X13" s="122"/>
    </row>
    <row r="14" spans="3:24" ht="18" thickBot="1" x14ac:dyDescent="0.3">
      <c r="C14" s="86" t="s">
        <v>419</v>
      </c>
      <c r="D14" s="87" t="s">
        <v>16</v>
      </c>
      <c r="E14" s="291">
        <f>'CON2'!B34</f>
        <v>113.16915092315458</v>
      </c>
      <c r="F14" s="87" t="s">
        <v>7</v>
      </c>
      <c r="G14" s="149" t="s">
        <v>420</v>
      </c>
      <c r="H14" s="149" t="s">
        <v>17</v>
      </c>
      <c r="I14" s="445">
        <f>'HE2'!I20</f>
        <v>341.31963464747065</v>
      </c>
      <c r="J14" s="151" t="s">
        <v>7</v>
      </c>
      <c r="L14" s="141"/>
      <c r="M14" s="57"/>
      <c r="N14" s="142"/>
      <c r="O14" s="142"/>
      <c r="P14" s="57"/>
      <c r="Q14" s="64"/>
      <c r="S14" s="63"/>
      <c r="T14" s="53"/>
      <c r="U14" s="53"/>
      <c r="V14" s="53"/>
      <c r="W14" s="53"/>
      <c r="X14" s="122"/>
    </row>
    <row r="15" spans="3:24" x14ac:dyDescent="0.2">
      <c r="C15" s="83" t="s">
        <v>59</v>
      </c>
      <c r="D15" s="84" t="s">
        <v>15</v>
      </c>
      <c r="E15" s="104">
        <f>'Input-Results'!D45</f>
        <v>0.8</v>
      </c>
      <c r="F15" s="260"/>
      <c r="G15" s="450"/>
      <c r="H15" s="450"/>
      <c r="I15" s="450"/>
      <c r="J15" s="451"/>
      <c r="L15" s="141"/>
      <c r="M15" s="57"/>
      <c r="N15" s="142"/>
      <c r="O15" s="142"/>
      <c r="P15" s="57"/>
      <c r="Q15" s="64"/>
      <c r="S15" s="63"/>
      <c r="T15" s="53"/>
      <c r="U15" s="53"/>
      <c r="V15" s="53"/>
      <c r="W15" s="53"/>
      <c r="X15" s="122"/>
    </row>
    <row r="16" spans="3:24" x14ac:dyDescent="0.2">
      <c r="C16" s="83" t="s">
        <v>52</v>
      </c>
      <c r="D16" s="85" t="s">
        <v>53</v>
      </c>
      <c r="E16" s="260">
        <f>'Input-Results'!D36</f>
        <v>1</v>
      </c>
      <c r="F16" s="61" t="s">
        <v>63</v>
      </c>
      <c r="G16" s="62"/>
      <c r="H16" s="62"/>
      <c r="I16" s="62"/>
      <c r="J16" s="66"/>
      <c r="L16" s="141"/>
      <c r="M16" s="57"/>
      <c r="N16" s="142"/>
      <c r="O16" s="142"/>
      <c r="P16" s="57"/>
      <c r="Q16" s="64"/>
      <c r="S16" s="63"/>
      <c r="T16" s="53"/>
      <c r="U16" s="53"/>
      <c r="V16" s="53"/>
      <c r="W16" s="53"/>
      <c r="X16" s="122"/>
    </row>
    <row r="17" spans="3:24" x14ac:dyDescent="0.2">
      <c r="C17" s="83" t="s">
        <v>56</v>
      </c>
      <c r="D17" s="85" t="s">
        <v>57</v>
      </c>
      <c r="E17" s="103">
        <f>MIN(E13,I13)/MAX(E13:I13)</f>
        <v>0.63525937200053839</v>
      </c>
      <c r="F17" s="61"/>
      <c r="G17" s="62"/>
      <c r="H17" s="62"/>
      <c r="I17" s="62"/>
      <c r="J17" s="66"/>
      <c r="L17" s="141" t="s">
        <v>88</v>
      </c>
      <c r="M17" s="146">
        <f>(1/259.84)*(100000*Q17/(P17+273))</f>
        <v>0.6389983958578983</v>
      </c>
      <c r="N17" s="145" t="s">
        <v>23</v>
      </c>
      <c r="O17" s="142" t="s">
        <v>31</v>
      </c>
      <c r="P17" s="147">
        <f>P8</f>
        <v>341.31963464747065</v>
      </c>
      <c r="Q17" s="64">
        <f>Q11</f>
        <v>1.02</v>
      </c>
      <c r="S17" s="63" t="s">
        <v>164</v>
      </c>
      <c r="T17" s="152">
        <v>1000</v>
      </c>
      <c r="U17" s="131" t="s">
        <v>23</v>
      </c>
      <c r="V17" s="128" t="s">
        <v>31</v>
      </c>
      <c r="W17" s="53">
        <f>W8</f>
        <v>229.11693733301706</v>
      </c>
      <c r="X17" s="723">
        <f>X8</f>
        <v>27.96</v>
      </c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141" t="s">
        <v>89</v>
      </c>
      <c r="M18" s="146">
        <f>0.0034*(100000*Q18/(P18+273))</f>
        <v>0.56452696681103531</v>
      </c>
      <c r="N18" s="145" t="s">
        <v>23</v>
      </c>
      <c r="O18" s="142" t="s">
        <v>31</v>
      </c>
      <c r="P18" s="147">
        <f>P9</f>
        <v>341.31963464747065</v>
      </c>
      <c r="Q18" s="64">
        <f>Q17</f>
        <v>1.02</v>
      </c>
      <c r="S18" s="63"/>
      <c r="T18" s="53"/>
      <c r="U18" s="53"/>
      <c r="V18" s="53"/>
      <c r="W18" s="53"/>
      <c r="X18" s="723"/>
    </row>
    <row r="19" spans="3:24" ht="15.5" customHeight="1" x14ac:dyDescent="0.25">
      <c r="C19" s="65" t="s">
        <v>14</v>
      </c>
      <c r="D19" s="60" t="s">
        <v>18</v>
      </c>
      <c r="E19" s="105">
        <f>E18*MIN(E13,I13)*(I14-E14)</f>
        <v>128.21249818905639</v>
      </c>
      <c r="F19" s="61" t="s">
        <v>1</v>
      </c>
      <c r="G19" s="62" t="s">
        <v>22</v>
      </c>
      <c r="H19" s="62"/>
      <c r="I19" s="62"/>
      <c r="J19" s="66"/>
      <c r="L19" s="141" t="s">
        <v>629</v>
      </c>
      <c r="M19" s="146">
        <f>1/(((I6/I10)/M17)+((I7/I10)/M18))</f>
        <v>0.58388726179129991</v>
      </c>
      <c r="N19" s="145" t="s">
        <v>23</v>
      </c>
      <c r="O19" s="142" t="s">
        <v>31</v>
      </c>
      <c r="P19" s="147">
        <f>P10</f>
        <v>341.31963464747065</v>
      </c>
      <c r="Q19" s="64">
        <f>Q17</f>
        <v>1.02</v>
      </c>
      <c r="S19" s="63"/>
      <c r="T19" s="53"/>
      <c r="U19" s="53"/>
      <c r="V19" s="53"/>
      <c r="W19" s="53"/>
      <c r="X19" s="122"/>
    </row>
    <row r="20" spans="3:24" ht="18" thickBot="1" x14ac:dyDescent="0.3">
      <c r="C20" s="86" t="s">
        <v>64</v>
      </c>
      <c r="D20" s="87" t="s">
        <v>20</v>
      </c>
      <c r="E20" s="165">
        <f>E14+E19/E13</f>
        <v>229.11693733301706</v>
      </c>
      <c r="F20" s="169" t="s">
        <v>7</v>
      </c>
      <c r="G20" s="170" t="s">
        <v>564</v>
      </c>
      <c r="H20" s="170" t="s">
        <v>21</v>
      </c>
      <c r="I20" s="171">
        <f>I14-E19/I13</f>
        <v>158.79924766801778</v>
      </c>
      <c r="J20" s="172" t="s">
        <v>7</v>
      </c>
      <c r="L20" s="141"/>
      <c r="M20" s="57"/>
      <c r="N20" s="142"/>
      <c r="O20" s="142"/>
      <c r="P20" s="57"/>
      <c r="Q20" s="64"/>
      <c r="S20" s="63"/>
      <c r="T20" s="53"/>
      <c r="U20" s="53"/>
      <c r="V20" s="53"/>
      <c r="W20" s="53"/>
      <c r="X20" s="122"/>
    </row>
    <row r="21" spans="3:24" x14ac:dyDescent="0.2">
      <c r="C21" s="268"/>
      <c r="D21" s="62"/>
      <c r="E21" s="62"/>
      <c r="F21" s="272"/>
      <c r="G21" s="62"/>
      <c r="H21" s="62"/>
      <c r="I21" s="62"/>
      <c r="J21" s="66"/>
      <c r="L21" s="141"/>
      <c r="M21" s="57"/>
      <c r="N21" s="142"/>
      <c r="O21" s="142"/>
      <c r="P21" s="57"/>
      <c r="Q21" s="64"/>
      <c r="S21" s="63"/>
      <c r="T21" s="53"/>
      <c r="U21" s="53"/>
      <c r="V21" s="53"/>
      <c r="W21" s="53"/>
      <c r="X21" s="122"/>
    </row>
    <row r="22" spans="3:24" ht="15.5" customHeight="1" x14ac:dyDescent="0.2">
      <c r="C22" s="65"/>
      <c r="D22" s="60"/>
      <c r="E22" s="271"/>
      <c r="F22" s="61"/>
      <c r="G22" s="272"/>
      <c r="H22" s="62"/>
      <c r="I22" s="62"/>
      <c r="J22" s="66"/>
      <c r="L22" s="141"/>
      <c r="M22" s="57"/>
      <c r="N22" s="142"/>
      <c r="O22" s="142"/>
      <c r="P22" s="57"/>
      <c r="Q22" s="64"/>
      <c r="S22" s="63"/>
      <c r="T22" s="53"/>
      <c r="U22" s="53"/>
      <c r="V22" s="53"/>
      <c r="W22" s="53"/>
      <c r="X22" s="122"/>
    </row>
    <row r="23" spans="3:24" ht="15.5" customHeight="1" x14ac:dyDescent="0.2">
      <c r="C23" s="65"/>
      <c r="D23" s="60"/>
      <c r="E23" s="60"/>
      <c r="F23" s="61"/>
      <c r="G23" s="62"/>
      <c r="H23" s="62"/>
      <c r="I23" s="62"/>
      <c r="J23" s="66"/>
      <c r="L23" s="141" t="s">
        <v>184</v>
      </c>
      <c r="M23" s="147">
        <f>(3600*M9/M17)+(3600*M11/M18)</f>
        <v>4.1606903232431467</v>
      </c>
      <c r="N23" s="145" t="s">
        <v>25</v>
      </c>
      <c r="O23" s="142" t="s">
        <v>31</v>
      </c>
      <c r="P23" s="147">
        <f>P8</f>
        <v>341.31963464747065</v>
      </c>
      <c r="Q23" s="64">
        <f>Q8</f>
        <v>1.02</v>
      </c>
      <c r="S23" s="63" t="s">
        <v>568</v>
      </c>
      <c r="T23" s="55">
        <f>3600*T9/T17</f>
        <v>9.5120678400000002E-4</v>
      </c>
      <c r="U23" s="131" t="s">
        <v>25</v>
      </c>
      <c r="V23" s="128" t="s">
        <v>31</v>
      </c>
      <c r="W23" s="53">
        <f>W8</f>
        <v>229.11693733301706</v>
      </c>
      <c r="X23" s="723">
        <f>X17</f>
        <v>27.96</v>
      </c>
    </row>
    <row r="24" spans="3:24" ht="16" thickBot="1" x14ac:dyDescent="0.25">
      <c r="C24" s="273"/>
      <c r="D24" s="270"/>
      <c r="E24" s="274"/>
      <c r="F24" s="275"/>
      <c r="G24" s="269"/>
      <c r="H24" s="269"/>
      <c r="I24" s="269"/>
      <c r="J24" s="276"/>
      <c r="L24" s="141"/>
      <c r="M24" s="59">
        <f>M23*1000/60</f>
        <v>69.34483872071911</v>
      </c>
      <c r="N24" s="145" t="s">
        <v>49</v>
      </c>
      <c r="O24" s="142" t="s">
        <v>31</v>
      </c>
      <c r="P24" s="147">
        <f>P8</f>
        <v>341.31963464747065</v>
      </c>
      <c r="Q24" s="64">
        <f>Q8</f>
        <v>1.02</v>
      </c>
      <c r="S24" s="63"/>
      <c r="T24" s="152">
        <f>T23*1000/60</f>
        <v>1.5853446400000002E-2</v>
      </c>
      <c r="U24" s="131" t="s">
        <v>49</v>
      </c>
      <c r="V24" s="128" t="s">
        <v>31</v>
      </c>
      <c r="W24" s="53">
        <f>W8</f>
        <v>229.11693733301706</v>
      </c>
      <c r="X24" s="723">
        <f>X23</f>
        <v>27.96</v>
      </c>
    </row>
    <row r="25" spans="3:24" ht="16" thickBot="1" x14ac:dyDescent="0.25">
      <c r="L25" s="141"/>
      <c r="M25" s="59"/>
      <c r="N25" s="145"/>
      <c r="O25" s="142"/>
      <c r="P25" s="57"/>
      <c r="Q25" s="64"/>
      <c r="S25" s="63"/>
      <c r="T25" s="56"/>
      <c r="U25" s="131"/>
      <c r="V25" s="128"/>
      <c r="W25" s="53"/>
      <c r="X25" s="723"/>
    </row>
    <row r="26" spans="3:24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K26" s="5"/>
      <c r="L26" s="141" t="s">
        <v>568</v>
      </c>
      <c r="M26" s="147">
        <f>M23*(P26+273)/(P23+273)</f>
        <v>2.9245084318149259</v>
      </c>
      <c r="N26" s="145" t="s">
        <v>25</v>
      </c>
      <c r="O26" s="142" t="s">
        <v>31</v>
      </c>
      <c r="P26" s="147">
        <f>I20</f>
        <v>158.79924766801778</v>
      </c>
      <c r="Q26" s="347">
        <f>Q23</f>
        <v>1.02</v>
      </c>
      <c r="S26" s="63" t="s">
        <v>184</v>
      </c>
      <c r="T26" s="55">
        <f>T23*(W26+273)/(W23+273)</f>
        <v>7.3155611535566237E-4</v>
      </c>
      <c r="U26" s="131" t="s">
        <v>25</v>
      </c>
      <c r="V26" s="128" t="s">
        <v>31</v>
      </c>
      <c r="W26" s="102">
        <f>E14</f>
        <v>113.16915092315458</v>
      </c>
      <c r="X26" s="723">
        <f>X8</f>
        <v>27.96</v>
      </c>
    </row>
    <row r="27" spans="3:24" x14ac:dyDescent="0.2">
      <c r="C27" s="213" t="s">
        <v>179</v>
      </c>
      <c r="D27" s="360">
        <f>I14</f>
        <v>341.31963464747065</v>
      </c>
      <c r="E27" s="371" t="s">
        <v>7</v>
      </c>
      <c r="F27" s="361"/>
      <c r="G27" s="93" t="s">
        <v>180</v>
      </c>
      <c r="H27" s="309">
        <f>I20</f>
        <v>158.79924766801778</v>
      </c>
      <c r="I27" s="374" t="s">
        <v>7</v>
      </c>
      <c r="J27" s="369"/>
      <c r="K27" s="5"/>
      <c r="L27" s="141"/>
      <c r="M27" s="59">
        <f>M26*1000/60</f>
        <v>48.741807196915438</v>
      </c>
      <c r="N27" s="145" t="s">
        <v>49</v>
      </c>
      <c r="O27" s="142" t="s">
        <v>31</v>
      </c>
      <c r="P27" s="147">
        <f>P26</f>
        <v>158.79924766801778</v>
      </c>
      <c r="Q27" s="347">
        <f>Q26</f>
        <v>1.02</v>
      </c>
      <c r="S27" s="63"/>
      <c r="T27" s="152">
        <f>T26*1000/60</f>
        <v>1.2192601922594372E-2</v>
      </c>
      <c r="U27" s="131" t="s">
        <v>49</v>
      </c>
      <c r="V27" s="128" t="s">
        <v>31</v>
      </c>
      <c r="W27" s="53">
        <f>W26</f>
        <v>113.16915092315458</v>
      </c>
      <c r="X27" s="723">
        <f>X26</f>
        <v>27.96</v>
      </c>
    </row>
    <row r="28" spans="3:24" x14ac:dyDescent="0.2">
      <c r="C28" s="96" t="s">
        <v>178</v>
      </c>
      <c r="D28" s="335">
        <f>0.01*0.61078*EXP((17.27*D27)/(D27+237.3))</f>
        <v>162.25074824348357</v>
      </c>
      <c r="E28" s="372" t="s">
        <v>177</v>
      </c>
      <c r="F28" s="359"/>
      <c r="G28" s="93" t="s">
        <v>178</v>
      </c>
      <c r="H28" s="94">
        <f>0.01*0.61078*EXP((17.27*H27)/(H27+237.3))</f>
        <v>6.2058211639566085</v>
      </c>
      <c r="I28" s="374" t="s">
        <v>177</v>
      </c>
      <c r="J28" s="369"/>
      <c r="K28" s="5"/>
      <c r="L28" s="141"/>
      <c r="M28" s="57"/>
      <c r="N28" s="142"/>
      <c r="O28" s="142"/>
      <c r="P28" s="57"/>
      <c r="Q28" s="64"/>
      <c r="S28" s="63"/>
      <c r="T28" s="53"/>
      <c r="U28" s="53"/>
      <c r="V28" s="53"/>
      <c r="W28" s="53"/>
      <c r="X28" s="122"/>
    </row>
    <row r="29" spans="3:24" ht="14.5" customHeight="1" x14ac:dyDescent="0.2">
      <c r="C29" s="336" t="s">
        <v>183</v>
      </c>
      <c r="D29" s="362">
        <f>(('Input-Results'!J7/60)*8.3144598*(D27+273)/(M27/3600))/100000</f>
        <v>0</v>
      </c>
      <c r="E29" s="373" t="s">
        <v>177</v>
      </c>
      <c r="F29" s="363"/>
      <c r="G29" s="93" t="s">
        <v>183</v>
      </c>
      <c r="H29" s="94">
        <f>(('Input-Results'!J7/60)*8.3144598*(H27+273)/(M33/3600))/100000</f>
        <v>0</v>
      </c>
      <c r="I29" s="374" t="s">
        <v>177</v>
      </c>
      <c r="J29" s="369"/>
      <c r="K29" s="174"/>
      <c r="L29" s="141"/>
      <c r="M29" s="57"/>
      <c r="N29" s="142"/>
      <c r="O29" s="142"/>
      <c r="P29" s="57"/>
      <c r="Q29" s="64"/>
      <c r="S29" s="63"/>
      <c r="T29" s="53"/>
      <c r="U29" s="53"/>
      <c r="V29" s="53"/>
      <c r="W29" s="53"/>
      <c r="X29" s="122"/>
    </row>
    <row r="30" spans="3:24" ht="17.5" customHeight="1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K30" s="179"/>
      <c r="L30" s="141"/>
      <c r="M30" s="57"/>
      <c r="N30" s="142"/>
      <c r="O30" s="142"/>
      <c r="P30" s="57"/>
      <c r="Q30" s="64"/>
      <c r="S30" s="63"/>
      <c r="T30" s="53"/>
      <c r="U30" s="53"/>
      <c r="V30" s="53"/>
      <c r="W30" s="53"/>
      <c r="X30" s="122"/>
    </row>
    <row r="31" spans="3:24" ht="18.5" customHeight="1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L31" s="141"/>
      <c r="M31" s="57"/>
      <c r="N31" s="142"/>
      <c r="O31" s="142"/>
      <c r="P31" s="57"/>
      <c r="Q31" s="64"/>
      <c r="S31" s="63"/>
      <c r="T31" s="53"/>
      <c r="U31" s="53"/>
      <c r="V31" s="53"/>
      <c r="W31" s="53"/>
      <c r="X31" s="122"/>
    </row>
    <row r="32" spans="3:24" ht="15.5" customHeight="1" x14ac:dyDescent="0.2">
      <c r="L32" s="141" t="s">
        <v>184</v>
      </c>
      <c r="M32" s="147">
        <f>M24*((P32+273)/(P8+273))*(Q24/Q32)</f>
        <v>31.029381541412185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 t="s">
        <v>568</v>
      </c>
      <c r="T32" s="102">
        <f>T24*((W32+273)/(W8+273))*(X24/X32)</f>
        <v>0.23790807676803852</v>
      </c>
      <c r="U32" s="131" t="s">
        <v>50</v>
      </c>
      <c r="V32" s="128" t="s">
        <v>31</v>
      </c>
      <c r="W32" s="53">
        <v>0</v>
      </c>
      <c r="X32" s="122">
        <v>1.0129999999999999</v>
      </c>
    </row>
    <row r="33" spans="2:24" x14ac:dyDescent="0.2">
      <c r="L33" s="141"/>
      <c r="M33" s="147">
        <f>M24*((P33+273)/(P8+273))*(Q24/Q33)</f>
        <v>33.302596306350807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T24*((W33+273)/(W8+273))*(X24/X33)</f>
        <v>0.25533723990122814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6" thickBot="1" x14ac:dyDescent="0.25">
      <c r="L34" s="141"/>
      <c r="M34" s="147">
        <f>M24*2.119*((273+P34)/(273+P8))*(Q24/Q34)</f>
        <v>70.568201573157367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T24*2.119*((273+W34)/(273+W8))*(X24/X34)</f>
        <v>0.54105961135070257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1</v>
      </c>
      <c r="E35" s="118" t="s">
        <v>62</v>
      </c>
      <c r="F35" s="116"/>
      <c r="J35" s="5"/>
      <c r="L35" s="148"/>
      <c r="M35" s="195">
        <f>M34/60</f>
        <v>1.176136692885956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9.0176601891783763E-3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6" thickBot="1" x14ac:dyDescent="0.25">
      <c r="C36" s="2"/>
      <c r="D36" s="120"/>
      <c r="E36" s="2"/>
      <c r="F36" s="121"/>
      <c r="J36" s="5"/>
    </row>
    <row r="37" spans="2:24" ht="19" x14ac:dyDescent="0.25">
      <c r="B37" s="70">
        <f>I20</f>
        <v>158.79924766801778</v>
      </c>
      <c r="C37" s="90" t="s">
        <v>7</v>
      </c>
      <c r="D37" s="110"/>
      <c r="E37" s="2"/>
      <c r="F37" s="114"/>
      <c r="G37" s="199">
        <f>I14</f>
        <v>341.31963464747065</v>
      </c>
      <c r="H37" s="68" t="s">
        <v>7</v>
      </c>
      <c r="I37" s="68"/>
    </row>
    <row r="38" spans="2:24" ht="19" x14ac:dyDescent="0.25">
      <c r="B38" s="264">
        <f>I10</f>
        <v>40.489567999999998</v>
      </c>
      <c r="C38" s="68" t="s">
        <v>48</v>
      </c>
      <c r="D38" s="111"/>
      <c r="E38" s="2"/>
      <c r="F38" s="112"/>
      <c r="G38" s="200">
        <f>I10</f>
        <v>40.489567999999998</v>
      </c>
      <c r="H38" s="68" t="s">
        <v>48</v>
      </c>
      <c r="I38" s="68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</row>
    <row r="40" spans="2:24" ht="19" x14ac:dyDescent="0.25">
      <c r="B40" s="67">
        <f>E14</f>
        <v>113.16915092315458</v>
      </c>
      <c r="C40" s="89" t="s">
        <v>7</v>
      </c>
      <c r="D40" s="112"/>
      <c r="E40" s="2"/>
      <c r="F40" s="112"/>
      <c r="G40" s="91">
        <f>E20</f>
        <v>229.11693733301706</v>
      </c>
      <c r="H40" s="67" t="s">
        <v>7</v>
      </c>
      <c r="I40" s="69"/>
      <c r="J40" s="5"/>
    </row>
    <row r="41" spans="2:24" ht="20" thickBot="1" x14ac:dyDescent="0.3">
      <c r="B41" s="180">
        <f>E6</f>
        <v>15.853446400000001</v>
      </c>
      <c r="C41" s="67" t="s">
        <v>166</v>
      </c>
      <c r="D41" s="113"/>
      <c r="E41" s="2"/>
      <c r="F41" s="115"/>
      <c r="G41" s="180">
        <f>B41</f>
        <v>15.853446400000001</v>
      </c>
      <c r="H41" s="67" t="s">
        <v>166</v>
      </c>
      <c r="I41" s="69"/>
      <c r="J41" s="5"/>
    </row>
    <row r="42" spans="2:24" ht="16" thickBot="1" x14ac:dyDescent="0.25">
      <c r="D42" s="120"/>
      <c r="E42" s="2"/>
      <c r="F42" s="121"/>
      <c r="J42" s="5"/>
    </row>
    <row r="43" spans="2:24" ht="20" thickBot="1" x14ac:dyDescent="0.3">
      <c r="D43" s="100" t="s">
        <v>61</v>
      </c>
      <c r="E43" s="117">
        <f>E19</f>
        <v>128.21249818905639</v>
      </c>
      <c r="F43" s="101" t="s">
        <v>1</v>
      </c>
      <c r="J43" s="174"/>
    </row>
    <row r="44" spans="2:24" ht="19" x14ac:dyDescent="0.2">
      <c r="J44" s="178"/>
    </row>
  </sheetData>
  <mergeCells count="4">
    <mergeCell ref="C30:F30"/>
    <mergeCell ref="G30:J30"/>
    <mergeCell ref="C31:F31"/>
    <mergeCell ref="G31:J31"/>
  </mergeCells>
  <conditionalFormatting sqref="C31 G31">
    <cfRule type="cellIs" dxfId="15" priority="1" operator="equal">
      <formula>"NO CONDENSATION"</formula>
    </cfRule>
    <cfRule type="cellIs" dxfId="14" priority="2" operator="equal">
      <formula>"CONDENSATION"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5">
    <pageSetUpPr fitToPage="1"/>
  </sheetPr>
  <dimension ref="B1:X51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bestFit="1" customWidth="1"/>
    <col min="24" max="24" width="6.6640625" customWidth="1"/>
  </cols>
  <sheetData>
    <row r="1" spans="2:24" ht="5.5" customHeight="1" x14ac:dyDescent="0.2"/>
    <row r="2" spans="2:24" ht="21" x14ac:dyDescent="0.25">
      <c r="B2" t="s">
        <v>394</v>
      </c>
      <c r="C2" s="99" t="s">
        <v>426</v>
      </c>
    </row>
    <row r="3" spans="2:24" ht="6" customHeight="1" thickBot="1" x14ac:dyDescent="0.25"/>
    <row r="4" spans="2:24" x14ac:dyDescent="0.2">
      <c r="C4" s="71" t="s">
        <v>9</v>
      </c>
      <c r="D4" s="72"/>
      <c r="E4" s="72"/>
      <c r="F4" s="453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2:24" x14ac:dyDescent="0.2">
      <c r="C5" s="77"/>
      <c r="D5" s="78"/>
      <c r="E5" s="78"/>
      <c r="F5" s="454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2:24" x14ac:dyDescent="0.2">
      <c r="C6" s="63" t="s">
        <v>293</v>
      </c>
      <c r="D6" s="53"/>
      <c r="E6" s="152">
        <f>'Input-Results'!V7</f>
        <v>0.21618336000000016</v>
      </c>
      <c r="F6" s="122" t="s">
        <v>2</v>
      </c>
      <c r="G6" s="141" t="s">
        <v>293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2:24" x14ac:dyDescent="0.2">
      <c r="C7" s="63" t="s">
        <v>103</v>
      </c>
      <c r="D7" s="53"/>
      <c r="E7" s="152">
        <f>'Input-Results'!V9</f>
        <v>1.0562400000000001</v>
      </c>
      <c r="F7" s="122" t="s">
        <v>2</v>
      </c>
      <c r="G7" s="141" t="s">
        <v>104</v>
      </c>
      <c r="H7" s="57"/>
      <c r="I7" s="146">
        <f>'Input-Results'!W10</f>
        <v>2.8871999999999995</v>
      </c>
      <c r="J7" s="64" t="s">
        <v>2</v>
      </c>
      <c r="L7" s="141"/>
      <c r="M7" s="57"/>
      <c r="N7" s="142"/>
      <c r="O7" s="142"/>
      <c r="P7" s="143"/>
      <c r="Q7" s="144"/>
      <c r="S7" s="63"/>
      <c r="T7" s="183"/>
      <c r="U7" s="128"/>
      <c r="V7" s="128"/>
      <c r="W7" s="129"/>
      <c r="X7" s="130"/>
    </row>
    <row r="8" spans="2:24" x14ac:dyDescent="0.2">
      <c r="C8" s="63" t="s">
        <v>65</v>
      </c>
      <c r="D8" s="53"/>
      <c r="E8" s="152">
        <f>'Input-Results'!V8</f>
        <v>0.19352448000000003</v>
      </c>
      <c r="F8" s="122" t="s">
        <v>2</v>
      </c>
      <c r="G8" s="141"/>
      <c r="H8" s="57"/>
      <c r="I8" s="146"/>
      <c r="J8" s="64"/>
      <c r="L8" s="141" t="s">
        <v>163</v>
      </c>
      <c r="M8" s="146">
        <f>I6</f>
        <v>1.0809168</v>
      </c>
      <c r="N8" s="145" t="s">
        <v>2</v>
      </c>
      <c r="O8" s="142" t="s">
        <v>31</v>
      </c>
      <c r="P8" s="147">
        <f>I14</f>
        <v>267.93292412887394</v>
      </c>
      <c r="Q8" s="715">
        <f>'Input-Results'!U12</f>
        <v>3</v>
      </c>
      <c r="S8" s="63" t="s">
        <v>163</v>
      </c>
      <c r="T8" s="152">
        <f>E6</f>
        <v>0.21618336000000016</v>
      </c>
      <c r="U8" s="131" t="s">
        <v>2</v>
      </c>
      <c r="V8" s="128" t="s">
        <v>31</v>
      </c>
      <c r="W8" s="102">
        <f>E20</f>
        <v>236.01638816351965</v>
      </c>
      <c r="X8" s="122">
        <f>'Input-Results'!V12</f>
        <v>3</v>
      </c>
    </row>
    <row r="9" spans="2:24" x14ac:dyDescent="0.2">
      <c r="C9" s="63" t="s">
        <v>104</v>
      </c>
      <c r="D9" s="53"/>
      <c r="E9" s="152">
        <f>'Input-Results'!V10</f>
        <v>2.4861999999999997</v>
      </c>
      <c r="F9" s="122" t="s">
        <v>2</v>
      </c>
      <c r="G9" s="141"/>
      <c r="H9" s="57"/>
      <c r="I9" s="146"/>
      <c r="J9" s="64"/>
      <c r="L9" s="141"/>
      <c r="M9" s="337">
        <f>M8/1000/60</f>
        <v>1.8015279999999999E-5</v>
      </c>
      <c r="N9" s="145" t="s">
        <v>3</v>
      </c>
      <c r="O9" s="142" t="s">
        <v>31</v>
      </c>
      <c r="P9" s="147">
        <f>P8</f>
        <v>267.93292412887394</v>
      </c>
      <c r="Q9" s="64">
        <f>Q8</f>
        <v>3</v>
      </c>
      <c r="S9" s="63"/>
      <c r="T9" s="338">
        <f>T8/1000/60</f>
        <v>3.6030560000000029E-6</v>
      </c>
      <c r="U9" s="131" t="s">
        <v>3</v>
      </c>
      <c r="V9" s="128" t="s">
        <v>31</v>
      </c>
      <c r="W9" s="102">
        <f>W8</f>
        <v>236.01638816351965</v>
      </c>
      <c r="X9" s="122">
        <f>X8</f>
        <v>3</v>
      </c>
    </row>
    <row r="10" spans="2:24" x14ac:dyDescent="0.2">
      <c r="C10" s="63" t="s">
        <v>45</v>
      </c>
      <c r="D10" s="53"/>
      <c r="E10" s="102">
        <f>E6+E7+E8+E9</f>
        <v>3.9521478400000003</v>
      </c>
      <c r="F10" s="122" t="s">
        <v>2</v>
      </c>
      <c r="G10" s="141" t="s">
        <v>45</v>
      </c>
      <c r="H10" s="57"/>
      <c r="I10" s="146">
        <f>I6+I7</f>
        <v>3.9681167999999998</v>
      </c>
      <c r="J10" s="64" t="s">
        <v>2</v>
      </c>
      <c r="L10" s="141" t="s">
        <v>104</v>
      </c>
      <c r="M10" s="146">
        <f>I7</f>
        <v>2.8871999999999995</v>
      </c>
      <c r="N10" s="145" t="s">
        <v>2</v>
      </c>
      <c r="O10" s="142" t="s">
        <v>31</v>
      </c>
      <c r="P10" s="147">
        <f>P8</f>
        <v>267.93292412887394</v>
      </c>
      <c r="Q10" s="715">
        <f>Q8</f>
        <v>3</v>
      </c>
      <c r="S10" s="63" t="s">
        <v>103</v>
      </c>
      <c r="T10" s="152">
        <f>E7</f>
        <v>1.0562400000000001</v>
      </c>
      <c r="U10" s="131" t="s">
        <v>2</v>
      </c>
      <c r="V10" s="128" t="s">
        <v>31</v>
      </c>
      <c r="W10" s="102">
        <f t="shared" ref="W10:X11" si="0">W9</f>
        <v>236.01638816351965</v>
      </c>
      <c r="X10" s="122">
        <f t="shared" si="0"/>
        <v>3</v>
      </c>
    </row>
    <row r="11" spans="2:24" x14ac:dyDescent="0.2">
      <c r="C11" s="63" t="s">
        <v>45</v>
      </c>
      <c r="D11" s="53"/>
      <c r="E11" s="338">
        <f>E10/1000/60</f>
        <v>6.5869130666666671E-5</v>
      </c>
      <c r="F11" s="122" t="s">
        <v>3</v>
      </c>
      <c r="G11" s="141" t="s">
        <v>46</v>
      </c>
      <c r="H11" s="57"/>
      <c r="I11" s="337">
        <f>I10/1000/60</f>
        <v>6.6135279999999995E-5</v>
      </c>
      <c r="J11" s="64" t="s">
        <v>3</v>
      </c>
      <c r="L11" s="141"/>
      <c r="M11" s="337">
        <f>M10/1000/60</f>
        <v>4.8119999999999993E-5</v>
      </c>
      <c r="N11" s="145" t="s">
        <v>3</v>
      </c>
      <c r="O11" s="142" t="s">
        <v>31</v>
      </c>
      <c r="P11" s="147">
        <f>P8</f>
        <v>267.93292412887394</v>
      </c>
      <c r="Q11" s="715">
        <f>Q8</f>
        <v>3</v>
      </c>
      <c r="S11" s="63"/>
      <c r="T11" s="338">
        <f>T10/1000/60</f>
        <v>1.7604000000000003E-5</v>
      </c>
      <c r="U11" s="131" t="s">
        <v>3</v>
      </c>
      <c r="V11" s="128" t="s">
        <v>31</v>
      </c>
      <c r="W11" s="102">
        <f t="shared" si="0"/>
        <v>236.01638816351965</v>
      </c>
      <c r="X11" s="122">
        <f t="shared" si="0"/>
        <v>3</v>
      </c>
    </row>
    <row r="12" spans="2:24" ht="17" x14ac:dyDescent="0.25">
      <c r="C12" s="63" t="s">
        <v>4</v>
      </c>
      <c r="D12" s="53" t="s">
        <v>11</v>
      </c>
      <c r="E12" s="56">
        <f>'Interpolation 3'!HB9</f>
        <v>2608.0797419654891</v>
      </c>
      <c r="F12" s="122" t="s">
        <v>0</v>
      </c>
      <c r="G12" s="141" t="s">
        <v>4</v>
      </c>
      <c r="H12" s="57" t="s">
        <v>12</v>
      </c>
      <c r="I12" s="59">
        <f>'Interpolation 3'!HV9</f>
        <v>2751.1919435018867</v>
      </c>
      <c r="J12" s="64" t="s">
        <v>0</v>
      </c>
      <c r="L12" s="141"/>
      <c r="M12" s="146"/>
      <c r="N12" s="145"/>
      <c r="O12" s="142"/>
      <c r="P12" s="147"/>
      <c r="Q12" s="64"/>
      <c r="S12" s="63" t="s">
        <v>90</v>
      </c>
      <c r="T12" s="152">
        <f>E8</f>
        <v>0.19352448000000003</v>
      </c>
      <c r="U12" s="131" t="s">
        <v>2</v>
      </c>
      <c r="V12" s="128" t="s">
        <v>31</v>
      </c>
      <c r="W12" s="102">
        <f>W9</f>
        <v>236.01638816351965</v>
      </c>
      <c r="X12" s="122">
        <f>X9</f>
        <v>3</v>
      </c>
    </row>
    <row r="13" spans="2:24" ht="17" x14ac:dyDescent="0.25">
      <c r="C13" s="63" t="s">
        <v>5</v>
      </c>
      <c r="D13" s="53" t="s">
        <v>6</v>
      </c>
      <c r="E13" s="55">
        <f>E11*E12</f>
        <v>0.17179194531261111</v>
      </c>
      <c r="F13" s="122" t="s">
        <v>19</v>
      </c>
      <c r="G13" s="141" t="s">
        <v>5</v>
      </c>
      <c r="H13" s="57" t="s">
        <v>13</v>
      </c>
      <c r="I13" s="58">
        <f>I11*I12</f>
        <v>0.18195084951724144</v>
      </c>
      <c r="J13" s="64" t="s">
        <v>8</v>
      </c>
      <c r="L13" s="141"/>
      <c r="M13" s="337"/>
      <c r="N13" s="145"/>
      <c r="O13" s="142"/>
      <c r="P13" s="147"/>
      <c r="Q13" s="64"/>
      <c r="S13" s="63"/>
      <c r="T13" s="338">
        <f>T12/1000/60</f>
        <v>3.2254080000000003E-6</v>
      </c>
      <c r="U13" s="131" t="s">
        <v>3</v>
      </c>
      <c r="V13" s="128" t="s">
        <v>31</v>
      </c>
      <c r="W13" s="102">
        <f>W12</f>
        <v>236.01638816351965</v>
      </c>
      <c r="X13" s="122">
        <f>X12</f>
        <v>3</v>
      </c>
    </row>
    <row r="14" spans="2:24" ht="18" thickBot="1" x14ac:dyDescent="0.3">
      <c r="C14" s="86" t="s">
        <v>427</v>
      </c>
      <c r="D14" s="87" t="s">
        <v>16</v>
      </c>
      <c r="E14" s="165">
        <f>IF(Condensers!D23=0,'CON3'!I20,'CON3'!H30)</f>
        <v>108.35024430210245</v>
      </c>
      <c r="F14" s="124" t="s">
        <v>7</v>
      </c>
      <c r="G14" s="148" t="s">
        <v>428</v>
      </c>
      <c r="H14" s="149" t="s">
        <v>17</v>
      </c>
      <c r="I14" s="445">
        <f>'HE6'!I20</f>
        <v>267.93292412887394</v>
      </c>
      <c r="J14" s="151" t="s">
        <v>7</v>
      </c>
      <c r="L14" s="141"/>
      <c r="M14" s="337"/>
      <c r="N14" s="145"/>
      <c r="O14" s="142"/>
      <c r="P14" s="147"/>
      <c r="Q14" s="64"/>
      <c r="S14" s="63" t="s">
        <v>104</v>
      </c>
      <c r="T14" s="152">
        <f>E9</f>
        <v>2.4861999999999997</v>
      </c>
      <c r="U14" s="131" t="s">
        <v>2</v>
      </c>
      <c r="V14" s="128" t="s">
        <v>31</v>
      </c>
      <c r="W14" s="102">
        <f t="shared" ref="W14:X15" si="1">W13</f>
        <v>236.01638816351965</v>
      </c>
      <c r="X14" s="122">
        <f t="shared" si="1"/>
        <v>3</v>
      </c>
    </row>
    <row r="15" spans="2:24" x14ac:dyDescent="0.2">
      <c r="C15" s="83" t="s">
        <v>59</v>
      </c>
      <c r="D15" s="84" t="s">
        <v>15</v>
      </c>
      <c r="E15" s="104">
        <f>'Input-Results'!D46</f>
        <v>0.8</v>
      </c>
      <c r="F15" s="260"/>
      <c r="G15" s="450"/>
      <c r="H15" s="450"/>
      <c r="I15" s="450"/>
      <c r="J15" s="451"/>
      <c r="L15" s="141"/>
      <c r="M15" s="337"/>
      <c r="N15" s="145"/>
      <c r="O15" s="142"/>
      <c r="P15" s="147"/>
      <c r="Q15" s="64"/>
      <c r="S15" s="63"/>
      <c r="T15" s="338">
        <f>T14/1000/60</f>
        <v>4.1436666666666662E-5</v>
      </c>
      <c r="U15" s="131" t="s">
        <v>3</v>
      </c>
      <c r="V15" s="128" t="s">
        <v>31</v>
      </c>
      <c r="W15" s="102">
        <f t="shared" si="1"/>
        <v>236.01638816351965</v>
      </c>
      <c r="X15" s="122">
        <f t="shared" si="1"/>
        <v>3</v>
      </c>
    </row>
    <row r="16" spans="2:24" x14ac:dyDescent="0.2">
      <c r="C16" s="83" t="s">
        <v>188</v>
      </c>
      <c r="D16" s="85" t="s">
        <v>53</v>
      </c>
      <c r="E16" s="260">
        <f>'Input-Results'!D37</f>
        <v>1</v>
      </c>
      <c r="F16" s="61" t="s">
        <v>63</v>
      </c>
      <c r="G16" s="62"/>
      <c r="H16" s="62"/>
      <c r="I16" s="62"/>
      <c r="J16" s="66"/>
      <c r="L16" s="141"/>
      <c r="M16" s="147"/>
      <c r="N16" s="145"/>
      <c r="O16" s="142"/>
      <c r="P16" s="57"/>
      <c r="Q16" s="64"/>
      <c r="S16" s="63"/>
      <c r="T16" s="102"/>
      <c r="U16" s="131"/>
      <c r="V16" s="128"/>
      <c r="W16" s="53"/>
      <c r="X16" s="122"/>
    </row>
    <row r="17" spans="2:24" x14ac:dyDescent="0.2">
      <c r="C17" s="83" t="s">
        <v>56</v>
      </c>
      <c r="D17" s="85" t="s">
        <v>57</v>
      </c>
      <c r="E17" s="103">
        <f>MIN(E13,I13)/MAX(E13:I13)</f>
        <v>0.94416676684069178</v>
      </c>
      <c r="F17" s="61"/>
      <c r="G17" s="62"/>
      <c r="H17" s="62"/>
      <c r="I17" s="62"/>
      <c r="J17" s="66"/>
      <c r="L17" s="141" t="s">
        <v>164</v>
      </c>
      <c r="M17" s="146">
        <f>(1/461.52)*(100000*Q17/(P17+273))</f>
        <v>1.2016757938830449</v>
      </c>
      <c r="N17" s="145" t="s">
        <v>23</v>
      </c>
      <c r="O17" s="142" t="s">
        <v>31</v>
      </c>
      <c r="P17" s="147">
        <f>P8</f>
        <v>267.93292412887394</v>
      </c>
      <c r="Q17" s="715">
        <f>Q8</f>
        <v>3</v>
      </c>
      <c r="S17" s="63" t="s">
        <v>164</v>
      </c>
      <c r="T17" s="152">
        <f>(1/461.52)*(100000*X17/(W17+273))</f>
        <v>1.277023718991191</v>
      </c>
      <c r="U17" s="131" t="s">
        <v>23</v>
      </c>
      <c r="V17" s="128" t="s">
        <v>31</v>
      </c>
      <c r="W17" s="102">
        <f>W8</f>
        <v>236.01638816351965</v>
      </c>
      <c r="X17" s="122">
        <f>X13</f>
        <v>3</v>
      </c>
    </row>
    <row r="18" spans="2:24" ht="17" x14ac:dyDescent="0.25">
      <c r="C18" s="83" t="s">
        <v>54</v>
      </c>
      <c r="D18" s="84" t="s">
        <v>55</v>
      </c>
      <c r="E18" s="104">
        <f>((((1-E17*E15)/(1-E15))^E16)-1)/((((1-E17*E15)/(1-E15))^E16)-E17)</f>
        <v>0.80000000000000016</v>
      </c>
      <c r="F18" s="61" t="s">
        <v>60</v>
      </c>
      <c r="G18" s="62"/>
      <c r="H18" s="62"/>
      <c r="I18" s="62"/>
      <c r="J18" s="66"/>
      <c r="L18" s="387" t="s">
        <v>161</v>
      </c>
      <c r="M18" s="245"/>
      <c r="N18" s="145" t="s">
        <v>23</v>
      </c>
      <c r="O18" s="142" t="s">
        <v>31</v>
      </c>
      <c r="P18" s="147">
        <f>P9</f>
        <v>267.93292412887394</v>
      </c>
      <c r="Q18" s="64">
        <f>Q10</f>
        <v>3</v>
      </c>
      <c r="S18" s="288" t="s">
        <v>161</v>
      </c>
      <c r="T18" s="34">
        <f>(1/188.92)*(100000*X18/(W18+273))</f>
        <v>3.1196908045141569</v>
      </c>
      <c r="U18" s="131" t="s">
        <v>23</v>
      </c>
      <c r="V18" s="128" t="s">
        <v>31</v>
      </c>
      <c r="W18" s="102">
        <f>W9</f>
        <v>236.01638816351965</v>
      </c>
      <c r="X18" s="122">
        <f>X14</f>
        <v>3</v>
      </c>
    </row>
    <row r="19" spans="2:24" ht="17" x14ac:dyDescent="0.25">
      <c r="C19" s="65" t="s">
        <v>14</v>
      </c>
      <c r="D19" s="60" t="s">
        <v>18</v>
      </c>
      <c r="E19" s="105">
        <f>E18*MIN(E13,I13)*(I14-E14)</f>
        <v>21.932015204512528</v>
      </c>
      <c r="F19" s="61" t="s">
        <v>1</v>
      </c>
      <c r="G19" s="62" t="s">
        <v>22</v>
      </c>
      <c r="H19" s="62"/>
      <c r="I19" s="62"/>
      <c r="J19" s="66"/>
      <c r="L19" s="141" t="s">
        <v>91</v>
      </c>
      <c r="M19" s="146"/>
      <c r="N19" s="145" t="s">
        <v>23</v>
      </c>
      <c r="O19" s="142" t="s">
        <v>31</v>
      </c>
      <c r="P19" s="147">
        <f>P9</f>
        <v>267.93292412887394</v>
      </c>
      <c r="Q19" s="64">
        <f>Q17</f>
        <v>3</v>
      </c>
      <c r="S19" s="63" t="s">
        <v>91</v>
      </c>
      <c r="T19" s="152">
        <f>(1/4124.2)*(100000*X19/(W19+273))</f>
        <v>0.14290577246225075</v>
      </c>
      <c r="U19" s="131" t="s">
        <v>23</v>
      </c>
      <c r="V19" s="128" t="s">
        <v>31</v>
      </c>
      <c r="W19" s="102">
        <f>W9</f>
        <v>236.01638816351965</v>
      </c>
      <c r="X19" s="122">
        <f>X17</f>
        <v>3</v>
      </c>
    </row>
    <row r="20" spans="2:24" ht="18" thickBot="1" x14ac:dyDescent="0.3">
      <c r="C20" s="287" t="s">
        <v>64</v>
      </c>
      <c r="D20" s="106" t="s">
        <v>20</v>
      </c>
      <c r="E20" s="444">
        <f>E14+E19/E13</f>
        <v>236.01638816351965</v>
      </c>
      <c r="F20" s="289" t="s">
        <v>7</v>
      </c>
      <c r="G20" s="107" t="s">
        <v>565</v>
      </c>
      <c r="H20" s="107" t="s">
        <v>21</v>
      </c>
      <c r="I20" s="201">
        <f>I14-E19/I13</f>
        <v>147.394793844221</v>
      </c>
      <c r="J20" s="108" t="s">
        <v>7</v>
      </c>
      <c r="L20" s="387" t="s">
        <v>162</v>
      </c>
      <c r="M20" s="146">
        <f>(1/518.28)*(100000*Q20/(P20+273))</f>
        <v>1.0700729574610306</v>
      </c>
      <c r="N20" s="145" t="s">
        <v>23</v>
      </c>
      <c r="O20" s="142" t="s">
        <v>31</v>
      </c>
      <c r="P20" s="147">
        <f>P8</f>
        <v>267.93292412887394</v>
      </c>
      <c r="Q20" s="64">
        <f>Q18</f>
        <v>3</v>
      </c>
      <c r="S20" s="288" t="s">
        <v>162</v>
      </c>
      <c r="T20" s="152">
        <f>(1/518.28)*(100000*X20/(W20+273))</f>
        <v>1.1371690722945407</v>
      </c>
      <c r="U20" s="131" t="s">
        <v>23</v>
      </c>
      <c r="V20" s="128" t="s">
        <v>31</v>
      </c>
      <c r="W20" s="102">
        <f>W10</f>
        <v>236.01638816351965</v>
      </c>
      <c r="X20" s="122">
        <f>X18</f>
        <v>3</v>
      </c>
    </row>
    <row r="21" spans="2:24" x14ac:dyDescent="0.2">
      <c r="C21" s="788" t="s">
        <v>129</v>
      </c>
      <c r="D21" s="786"/>
      <c r="E21" s="786"/>
      <c r="F21" s="785">
        <f>E20</f>
        <v>236.01638816351965</v>
      </c>
      <c r="G21" s="786" t="s">
        <v>124</v>
      </c>
      <c r="H21" s="786">
        <f>'Input-Results'!D27</f>
        <v>230</v>
      </c>
      <c r="I21" s="786" t="s">
        <v>7</v>
      </c>
      <c r="J21" s="787"/>
      <c r="L21" s="141" t="s">
        <v>629</v>
      </c>
      <c r="M21" s="146">
        <f>1/(((I6/I10)/M17)+((I7/I10)/M20))</f>
        <v>1.1029772307656873</v>
      </c>
      <c r="N21" s="145" t="s">
        <v>630</v>
      </c>
      <c r="O21" s="142" t="s">
        <v>31</v>
      </c>
      <c r="P21" s="147">
        <f>P8</f>
        <v>267.93292412887394</v>
      </c>
      <c r="Q21" s="64">
        <f>Q19</f>
        <v>3</v>
      </c>
      <c r="S21" s="63" t="s">
        <v>629</v>
      </c>
      <c r="T21" s="152">
        <f>1/(((E6/E10)/T17)+((E7/E10)/T18)+((E8/E10)/T19)+((E9/E10)/T20))</f>
        <v>0.97623051300978136</v>
      </c>
      <c r="U21" s="131" t="s">
        <v>630</v>
      </c>
      <c r="V21" s="128" t="s">
        <v>31</v>
      </c>
      <c r="W21" s="102">
        <f>W11</f>
        <v>236.01638816351965</v>
      </c>
      <c r="X21" s="122">
        <f>X19</f>
        <v>3</v>
      </c>
    </row>
    <row r="22" spans="2:24" ht="15.5" customHeight="1" x14ac:dyDescent="0.25">
      <c r="C22" s="65" t="s">
        <v>125</v>
      </c>
      <c r="D22" s="60" t="s">
        <v>126</v>
      </c>
      <c r="E22" s="271">
        <f>'Interpolation 3'!IP9</f>
        <v>2928.7936144746709</v>
      </c>
      <c r="F22" s="61" t="s">
        <v>632</v>
      </c>
      <c r="G22" s="272">
        <f>F21</f>
        <v>236.01638816351965</v>
      </c>
      <c r="H22" s="62" t="s">
        <v>7</v>
      </c>
      <c r="I22" s="62"/>
      <c r="J22" s="66"/>
      <c r="L22" s="141"/>
      <c r="M22" s="763"/>
      <c r="N22" s="145"/>
      <c r="O22" s="142"/>
      <c r="P22" s="147"/>
      <c r="Q22" s="64"/>
      <c r="S22" s="63"/>
      <c r="T22" s="102"/>
      <c r="U22" s="131"/>
      <c r="V22" s="128"/>
      <c r="W22" s="102"/>
      <c r="X22" s="122"/>
    </row>
    <row r="23" spans="2:24" ht="17" x14ac:dyDescent="0.25">
      <c r="C23" s="65" t="s">
        <v>131</v>
      </c>
      <c r="D23" s="60" t="s">
        <v>27</v>
      </c>
      <c r="E23" s="60">
        <f>'Input-Results'!D27</f>
        <v>230</v>
      </c>
      <c r="F23" s="61" t="s">
        <v>7</v>
      </c>
      <c r="G23" s="62"/>
      <c r="H23" s="62"/>
      <c r="I23" s="62"/>
      <c r="J23" s="66"/>
      <c r="L23" s="141" t="s">
        <v>184</v>
      </c>
      <c r="M23" s="146">
        <f>(3600*M9/M17)+(3600*M11/M20)</f>
        <v>0.21585849767244955</v>
      </c>
      <c r="N23" s="145" t="s">
        <v>25</v>
      </c>
      <c r="O23" s="142" t="s">
        <v>31</v>
      </c>
      <c r="P23" s="147">
        <f>P8</f>
        <v>267.93292412887394</v>
      </c>
      <c r="Q23" s="64">
        <f>Q8</f>
        <v>3</v>
      </c>
      <c r="S23" s="63" t="s">
        <v>568</v>
      </c>
      <c r="T23" s="152">
        <f>(3600*T9/T17)+(3600*T11/T18)+(3600*T15/T20)+(3600*T13/T19)</f>
        <v>0.24290253914407622</v>
      </c>
      <c r="U23" s="131" t="s">
        <v>25</v>
      </c>
      <c r="V23" s="128" t="s">
        <v>31</v>
      </c>
      <c r="W23" s="102">
        <f>W8</f>
        <v>236.01638816351965</v>
      </c>
      <c r="X23" s="122">
        <f>X8</f>
        <v>3</v>
      </c>
    </row>
    <row r="24" spans="2:24" ht="16" thickBot="1" x14ac:dyDescent="0.25">
      <c r="B24" s="5"/>
      <c r="C24" s="273" t="s">
        <v>628</v>
      </c>
      <c r="D24" s="270" t="s">
        <v>128</v>
      </c>
      <c r="E24" s="274">
        <f>E11*E22*(E23-E20)</f>
        <v>-1.1606640925301654</v>
      </c>
      <c r="F24" s="275" t="s">
        <v>1</v>
      </c>
      <c r="G24" s="269"/>
      <c r="H24" s="269"/>
      <c r="I24" s="269"/>
      <c r="J24" s="276"/>
      <c r="L24" s="141"/>
      <c r="M24" s="59">
        <f>M23*1000/60</f>
        <v>3.5976416278741592</v>
      </c>
      <c r="N24" s="145" t="s">
        <v>49</v>
      </c>
      <c r="O24" s="142" t="s">
        <v>31</v>
      </c>
      <c r="P24" s="147">
        <f>P8</f>
        <v>267.93292412887394</v>
      </c>
      <c r="Q24" s="64">
        <f>Q8</f>
        <v>3</v>
      </c>
      <c r="S24" s="63"/>
      <c r="T24" s="56">
        <f>T23*1000/60</f>
        <v>4.0483756524012708</v>
      </c>
      <c r="U24" s="131" t="s">
        <v>49</v>
      </c>
      <c r="V24" s="128" t="s">
        <v>31</v>
      </c>
      <c r="W24" s="102">
        <f>W8</f>
        <v>236.01638816351965</v>
      </c>
      <c r="X24" s="122">
        <f>X8</f>
        <v>3</v>
      </c>
    </row>
    <row r="25" spans="2:24" ht="16" thickBot="1" x14ac:dyDescent="0.25">
      <c r="B25" s="5"/>
      <c r="C25" s="5"/>
      <c r="D25" s="389"/>
      <c r="E25" s="344"/>
      <c r="F25" s="4"/>
      <c r="G25" s="5"/>
      <c r="H25" s="168"/>
      <c r="I25" s="344"/>
      <c r="J25" s="5"/>
      <c r="L25" s="141"/>
      <c r="M25" s="147"/>
      <c r="N25" s="145"/>
      <c r="O25" s="142"/>
      <c r="P25" s="57"/>
      <c r="Q25" s="64"/>
      <c r="S25" s="63"/>
      <c r="T25" s="102"/>
      <c r="U25" s="131"/>
      <c r="V25" s="128"/>
      <c r="W25" s="53"/>
      <c r="X25" s="122"/>
    </row>
    <row r="26" spans="2:24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L26" s="387" t="s">
        <v>191</v>
      </c>
      <c r="M26" s="245">
        <f>M23*(P26+273)/(P23+273)</f>
        <v>0.16775793186312515</v>
      </c>
      <c r="N26" s="145" t="s">
        <v>25</v>
      </c>
      <c r="O26" s="142" t="s">
        <v>31</v>
      </c>
      <c r="P26" s="147">
        <f>I20</f>
        <v>147.394793844221</v>
      </c>
      <c r="Q26" s="64">
        <f>Q9</f>
        <v>3</v>
      </c>
      <c r="S26" s="63" t="s">
        <v>184</v>
      </c>
      <c r="T26" s="102">
        <f>T23*(W26+273)/(W23+273)</f>
        <v>0.18198027568109876</v>
      </c>
      <c r="U26" s="131" t="s">
        <v>25</v>
      </c>
      <c r="V26" s="128" t="s">
        <v>31</v>
      </c>
      <c r="W26" s="53">
        <f>E14</f>
        <v>108.35024430210245</v>
      </c>
      <c r="X26" s="122">
        <f>X9</f>
        <v>3</v>
      </c>
    </row>
    <row r="27" spans="2:24" x14ac:dyDescent="0.2">
      <c r="C27" s="213" t="s">
        <v>179</v>
      </c>
      <c r="D27" s="360">
        <f>I14</f>
        <v>267.93292412887394</v>
      </c>
      <c r="E27" s="371" t="s">
        <v>7</v>
      </c>
      <c r="F27" s="361"/>
      <c r="G27" s="93" t="s">
        <v>180</v>
      </c>
      <c r="H27" s="309">
        <f>I20</f>
        <v>147.394793844221</v>
      </c>
      <c r="I27" s="374" t="s">
        <v>7</v>
      </c>
      <c r="J27" s="369"/>
      <c r="L27" s="141"/>
      <c r="M27" s="59">
        <f>M26*1000/60</f>
        <v>2.7959655310520857</v>
      </c>
      <c r="N27" s="145" t="s">
        <v>49</v>
      </c>
      <c r="O27" s="142" t="s">
        <v>31</v>
      </c>
      <c r="P27" s="147">
        <f>P26</f>
        <v>147.394793844221</v>
      </c>
      <c r="Q27" s="64">
        <f>Q26</f>
        <v>3</v>
      </c>
      <c r="S27" s="63"/>
      <c r="T27" s="56">
        <f>T26*1000/60</f>
        <v>3.0330045946849795</v>
      </c>
      <c r="U27" s="131" t="s">
        <v>49</v>
      </c>
      <c r="V27" s="128" t="s">
        <v>31</v>
      </c>
      <c r="W27" s="102">
        <f>W26</f>
        <v>108.35024430210245</v>
      </c>
      <c r="X27" s="122">
        <f>X11</f>
        <v>3</v>
      </c>
    </row>
    <row r="28" spans="2:24" x14ac:dyDescent="0.2">
      <c r="C28" s="96" t="s">
        <v>178</v>
      </c>
      <c r="D28" s="335">
        <f>0.01*0.61078*EXP((17.27*D27)/(D27+237.3))</f>
        <v>57.995333839497576</v>
      </c>
      <c r="E28" s="372" t="s">
        <v>177</v>
      </c>
      <c r="F28" s="359"/>
      <c r="G28" s="93" t="s">
        <v>178</v>
      </c>
      <c r="H28" s="94">
        <f>0.01*0.61078*EXP((17.27*H27)/(H27+237.3))</f>
        <v>4.5665876182866496</v>
      </c>
      <c r="I28" s="374" t="s">
        <v>177</v>
      </c>
      <c r="J28" s="369"/>
      <c r="L28" s="141"/>
      <c r="M28" s="147"/>
      <c r="N28" s="145"/>
      <c r="O28" s="142"/>
      <c r="P28" s="57"/>
      <c r="Q28" s="64"/>
      <c r="S28" s="63"/>
      <c r="T28" s="102"/>
      <c r="U28" s="131"/>
      <c r="V28" s="128"/>
      <c r="W28" s="53"/>
      <c r="X28" s="122"/>
    </row>
    <row r="29" spans="2:24" x14ac:dyDescent="0.2">
      <c r="C29" s="336" t="s">
        <v>183</v>
      </c>
      <c r="D29" s="362">
        <f>(('Input-Results'!N7/60)*8.3144598*(D27+273)/(M23/3600))/100000</f>
        <v>0.75008555893716022</v>
      </c>
      <c r="E29" s="373" t="s">
        <v>177</v>
      </c>
      <c r="F29" s="363"/>
      <c r="G29" s="93" t="s">
        <v>183</v>
      </c>
      <c r="H29" s="94">
        <f>(('Input-Results'!N7/60)*8.3144598*(H27+273)/(M26/3600))/100000</f>
        <v>0.75008555893716011</v>
      </c>
      <c r="I29" s="374" t="s">
        <v>177</v>
      </c>
      <c r="J29" s="369"/>
      <c r="L29" s="789" t="s">
        <v>192</v>
      </c>
      <c r="M29" s="146">
        <f>((3600*M11/M20))*(I20+273)/(I14+273)</f>
        <v>0.12581390550986887</v>
      </c>
      <c r="N29" s="145" t="s">
        <v>25</v>
      </c>
      <c r="O29" s="142" t="s">
        <v>31</v>
      </c>
      <c r="P29" s="147">
        <f>I20</f>
        <v>147.394793844221</v>
      </c>
      <c r="Q29" s="715">
        <f>Q8</f>
        <v>3</v>
      </c>
      <c r="S29" s="63"/>
      <c r="T29" s="152"/>
      <c r="U29" s="131"/>
      <c r="V29" s="128"/>
      <c r="W29" s="102"/>
      <c r="X29" s="122"/>
    </row>
    <row r="30" spans="2:24" ht="17.5" customHeight="1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L30" s="769"/>
      <c r="M30" s="337">
        <f>(M29*((P30+273)/(P29+273))*(Q29/Q30))/3600</f>
        <v>6.7211450866732476E-5</v>
      </c>
      <c r="N30" s="145" t="s">
        <v>337</v>
      </c>
      <c r="O30" s="142" t="s">
        <v>31</v>
      </c>
      <c r="P30" s="57">
        <v>0</v>
      </c>
      <c r="Q30" s="64">
        <v>1.0129999999999999</v>
      </c>
      <c r="S30" s="63"/>
      <c r="T30" s="53"/>
      <c r="U30" s="128"/>
      <c r="V30" s="128"/>
      <c r="W30" s="53"/>
      <c r="X30" s="122"/>
    </row>
    <row r="31" spans="2:24" ht="18.5" customHeight="1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L31" s="141"/>
      <c r="M31" s="59"/>
      <c r="N31" s="145"/>
      <c r="O31" s="142"/>
      <c r="P31" s="57"/>
      <c r="Q31" s="64"/>
      <c r="S31" s="63"/>
      <c r="T31" s="56"/>
      <c r="U31" s="131"/>
      <c r="V31" s="128"/>
      <c r="W31" s="53"/>
      <c r="X31" s="122"/>
    </row>
    <row r="32" spans="2:24" ht="16" thickBot="1" x14ac:dyDescent="0.25">
      <c r="C32" s="5"/>
      <c r="D32" s="5"/>
      <c r="E32" s="167"/>
      <c r="F32" s="5"/>
      <c r="G32" s="433" t="s">
        <v>231</v>
      </c>
      <c r="H32" s="436">
        <f>(237.3*LN(((H29*100)/0.61078)))/(17.27-(LN(((H29*100)/0.61078))))</f>
        <v>91.62256349076462</v>
      </c>
      <c r="I32" s="434" t="s">
        <v>7</v>
      </c>
      <c r="J32" s="435"/>
      <c r="K32" s="5"/>
      <c r="L32" s="141" t="s">
        <v>184</v>
      </c>
      <c r="M32" s="147">
        <f>M24*((P32+273)/(P8+273))*(Q24/Q32)</f>
        <v>5.3771102403487454</v>
      </c>
      <c r="N32" s="145" t="s">
        <v>50</v>
      </c>
      <c r="O32" s="142" t="s">
        <v>31</v>
      </c>
      <c r="P32" s="57">
        <v>0</v>
      </c>
      <c r="Q32" s="64">
        <v>1.0129999999999999</v>
      </c>
      <c r="S32" s="63" t="s">
        <v>568</v>
      </c>
      <c r="T32" s="102">
        <f>T24*((W32+273)/(W8+273))*(X24/X32)</f>
        <v>6.4301854098305409</v>
      </c>
      <c r="U32" s="131" t="s">
        <v>50</v>
      </c>
      <c r="V32" s="128" t="s">
        <v>31</v>
      </c>
      <c r="W32" s="53">
        <v>0</v>
      </c>
      <c r="X32" s="122">
        <v>1.0129999999999999</v>
      </c>
    </row>
    <row r="33" spans="2:24" x14ac:dyDescent="0.2">
      <c r="K33" s="5"/>
      <c r="L33" s="141"/>
      <c r="M33" s="147">
        <f>M24*((P33+273)/(P8+273))*(Q24/Q33)</f>
        <v>5.7710377304841858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T24*((W33+273)/(W8+273))*(X24/X33)</f>
        <v>6.9012612640305804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6" thickBot="1" x14ac:dyDescent="0.25">
      <c r="J34" s="5"/>
      <c r="K34" s="5"/>
      <c r="L34" s="141"/>
      <c r="M34" s="147">
        <f>M24*2.119*((273+P34)/(273+P8))*(Q24/Q34)</f>
        <v>12.228828950895991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T24*2.119*((273+W34)/(273+W8))*(X24/X34)</f>
        <v>14.623772618480801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1</v>
      </c>
      <c r="E35" s="118" t="s">
        <v>62</v>
      </c>
      <c r="F35" s="116"/>
      <c r="J35" s="5"/>
      <c r="K35" s="5"/>
      <c r="L35" s="148"/>
      <c r="M35" s="195">
        <f>M34/60</f>
        <v>0.20381381584826652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0.24372954364134669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5.5" customHeight="1" thickBot="1" x14ac:dyDescent="0.3">
      <c r="C36" s="2"/>
      <c r="D36" s="120"/>
      <c r="E36" s="2"/>
      <c r="F36" s="121"/>
      <c r="J36" s="699"/>
      <c r="K36" s="5"/>
      <c r="L36" t="s">
        <v>193</v>
      </c>
    </row>
    <row r="37" spans="2:24" ht="19" x14ac:dyDescent="0.25">
      <c r="B37" s="70">
        <f>I20</f>
        <v>147.394793844221</v>
      </c>
      <c r="C37" s="90" t="s">
        <v>7</v>
      </c>
      <c r="D37" s="110"/>
      <c r="E37" s="2"/>
      <c r="F37" s="114"/>
      <c r="G37" s="199">
        <f>I14</f>
        <v>267.93292412887394</v>
      </c>
      <c r="H37" s="68" t="s">
        <v>7</v>
      </c>
      <c r="I37" s="68"/>
      <c r="J37" s="699"/>
      <c r="K37" s="174"/>
    </row>
    <row r="38" spans="2:24" ht="19" x14ac:dyDescent="0.25">
      <c r="B38" s="264">
        <f>I10</f>
        <v>3.9681167999999998</v>
      </c>
      <c r="C38" s="68" t="s">
        <v>455</v>
      </c>
      <c r="D38" s="111"/>
      <c r="E38" s="2"/>
      <c r="F38" s="112"/>
      <c r="G38" s="200">
        <f>I10</f>
        <v>3.9681167999999998</v>
      </c>
      <c r="H38" s="68" t="s">
        <v>455</v>
      </c>
      <c r="I38" s="68"/>
      <c r="J38" s="5"/>
      <c r="K38" s="179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  <c r="J39" s="5"/>
      <c r="K39" s="5"/>
      <c r="M39" s="390"/>
      <c r="T39" s="1"/>
    </row>
    <row r="40" spans="2:24" ht="19" x14ac:dyDescent="0.25">
      <c r="B40" s="449">
        <f>E14</f>
        <v>108.35024430210245</v>
      </c>
      <c r="C40" s="89" t="s">
        <v>7</v>
      </c>
      <c r="D40" s="112"/>
      <c r="E40" s="2"/>
      <c r="F40" s="112"/>
      <c r="G40" s="91">
        <f>E20</f>
        <v>236.01638816351965</v>
      </c>
      <c r="H40" s="67" t="s">
        <v>7</v>
      </c>
      <c r="I40" s="69"/>
      <c r="J40" s="5"/>
      <c r="K40" s="5"/>
    </row>
    <row r="41" spans="2:24" ht="20" thickBot="1" x14ac:dyDescent="0.3">
      <c r="B41" s="180">
        <f>E10</f>
        <v>3.9521478400000003</v>
      </c>
      <c r="C41" s="67" t="s">
        <v>111</v>
      </c>
      <c r="D41" s="113"/>
      <c r="E41" s="2"/>
      <c r="F41" s="115"/>
      <c r="G41" s="180">
        <f>B41</f>
        <v>3.9521478400000003</v>
      </c>
      <c r="H41" s="67" t="s">
        <v>111</v>
      </c>
      <c r="I41" s="69"/>
      <c r="J41" s="5"/>
      <c r="K41" s="5"/>
    </row>
    <row r="42" spans="2:24" ht="16" thickBot="1" x14ac:dyDescent="0.25">
      <c r="D42" s="120"/>
      <c r="E42" s="2"/>
      <c r="F42" s="121"/>
      <c r="J42" s="5"/>
      <c r="K42" s="5"/>
      <c r="R42" s="5"/>
      <c r="S42" s="5"/>
      <c r="T42" s="5"/>
    </row>
    <row r="43" spans="2:24" ht="19.25" customHeight="1" thickBot="1" x14ac:dyDescent="0.3">
      <c r="D43" s="100" t="s">
        <v>61</v>
      </c>
      <c r="E43" s="117">
        <f>E19</f>
        <v>21.932015204512528</v>
      </c>
      <c r="F43" s="101" t="s">
        <v>1</v>
      </c>
      <c r="J43" s="5"/>
      <c r="L43" s="5"/>
      <c r="M43" s="5"/>
      <c r="N43" s="4"/>
      <c r="O43" s="4"/>
      <c r="P43" s="5"/>
      <c r="Q43" s="5"/>
      <c r="R43" s="5"/>
      <c r="S43" s="5"/>
    </row>
    <row r="44" spans="2:24" x14ac:dyDescent="0.2">
      <c r="J44" s="5"/>
    </row>
    <row r="47" spans="2:24" ht="19" x14ac:dyDescent="0.2">
      <c r="J47" s="174"/>
    </row>
    <row r="51" spans="10:10" ht="19" x14ac:dyDescent="0.2">
      <c r="J51" s="178"/>
    </row>
  </sheetData>
  <mergeCells count="4">
    <mergeCell ref="C30:F30"/>
    <mergeCell ref="G30:J30"/>
    <mergeCell ref="C31:F31"/>
    <mergeCell ref="G31:J31"/>
  </mergeCells>
  <conditionalFormatting sqref="C31 G31">
    <cfRule type="cellIs" dxfId="13" priority="1" operator="equal">
      <formula>"NO CONDENSATION"</formula>
    </cfRule>
    <cfRule type="cellIs" dxfId="12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29">
    <pageSetUpPr fitToPage="1"/>
  </sheetPr>
  <dimension ref="B1:X45"/>
  <sheetViews>
    <sheetView zoomScale="78" zoomScaleNormal="78" workbookViewId="0">
      <selection activeCell="L40" sqref="L40"/>
    </sheetView>
  </sheetViews>
  <sheetFormatPr baseColWidth="10" defaultColWidth="8.83203125" defaultRowHeight="15" x14ac:dyDescent="0.2"/>
  <cols>
    <col min="1" max="1" width="3" customWidth="1"/>
    <col min="2" max="2" width="9.83203125" customWidth="1"/>
    <col min="3" max="3" width="30.33203125" customWidth="1"/>
    <col min="4" max="4" width="15.5" customWidth="1"/>
    <col min="5" max="5" width="9.83203125" bestFit="1" customWidth="1"/>
    <col min="6" max="6" width="15.5" customWidth="1"/>
    <col min="7" max="7" width="27.83203125" customWidth="1"/>
    <col min="8" max="8" width="14.1640625" customWidth="1"/>
    <col min="9" max="9" width="9.5" bestFit="1" customWidth="1"/>
    <col min="11" max="11" width="2.83203125" customWidth="1"/>
    <col min="12" max="12" width="24.33203125" customWidth="1"/>
    <col min="13" max="13" width="10.83203125" customWidth="1"/>
    <col min="14" max="14" width="6.6640625" style="3" customWidth="1"/>
    <col min="15" max="15" width="2.83203125" style="3" customWidth="1"/>
    <col min="16" max="16" width="8.5" customWidth="1"/>
    <col min="17" max="17" width="7.83203125" customWidth="1"/>
    <col min="18" max="18" width="1.5" customWidth="1"/>
    <col min="19" max="19" width="22.33203125" customWidth="1"/>
    <col min="20" max="20" width="8.5" customWidth="1"/>
    <col min="21" max="21" width="6.6640625" customWidth="1"/>
    <col min="22" max="22" width="2.83203125" customWidth="1"/>
    <col min="23" max="23" width="6.1640625" bestFit="1" customWidth="1"/>
    <col min="24" max="24" width="6.6640625" customWidth="1"/>
  </cols>
  <sheetData>
    <row r="1" spans="3:24" ht="5.5" customHeight="1" x14ac:dyDescent="0.2"/>
    <row r="2" spans="3:24" ht="21" x14ac:dyDescent="0.25">
      <c r="C2" s="99" t="s">
        <v>453</v>
      </c>
    </row>
    <row r="3" spans="3:24" ht="6" customHeight="1" thickBot="1" x14ac:dyDescent="0.25"/>
    <row r="4" spans="3:24" x14ac:dyDescent="0.2">
      <c r="C4" s="71" t="s">
        <v>9</v>
      </c>
      <c r="D4" s="72"/>
      <c r="E4" s="72"/>
      <c r="F4" s="72"/>
      <c r="G4" s="133" t="s">
        <v>10</v>
      </c>
      <c r="H4" s="75"/>
      <c r="I4" s="75"/>
      <c r="J4" s="76"/>
      <c r="L4" s="133" t="s">
        <v>101</v>
      </c>
      <c r="M4" s="134"/>
      <c r="N4" s="135"/>
      <c r="O4" s="135"/>
      <c r="P4" s="134"/>
      <c r="Q4" s="136"/>
      <c r="S4" s="71" t="s">
        <v>102</v>
      </c>
      <c r="T4" s="29"/>
      <c r="U4" s="126"/>
      <c r="V4" s="126"/>
      <c r="W4" s="29"/>
      <c r="X4" s="31"/>
    </row>
    <row r="5" spans="3:24" x14ac:dyDescent="0.2">
      <c r="C5" s="77"/>
      <c r="D5" s="78"/>
      <c r="E5" s="78"/>
      <c r="F5" s="78"/>
      <c r="G5" s="452"/>
      <c r="H5" s="81"/>
      <c r="I5" s="81"/>
      <c r="J5" s="82"/>
      <c r="L5" s="137"/>
      <c r="M5" s="138"/>
      <c r="N5" s="139"/>
      <c r="O5" s="139"/>
      <c r="P5" s="138"/>
      <c r="Q5" s="140"/>
      <c r="S5" s="193"/>
      <c r="T5" s="191"/>
      <c r="U5" s="192"/>
      <c r="V5" s="192"/>
      <c r="W5" s="191"/>
      <c r="X5" s="194"/>
    </row>
    <row r="6" spans="3:24" x14ac:dyDescent="0.2">
      <c r="C6" s="63" t="s">
        <v>103</v>
      </c>
      <c r="D6" s="53"/>
      <c r="E6" s="152">
        <f>'Input-Results'!T9</f>
        <v>7.9217999999999993</v>
      </c>
      <c r="F6" s="181" t="s">
        <v>2</v>
      </c>
      <c r="G6" s="141" t="s">
        <v>293</v>
      </c>
      <c r="H6" s="57"/>
      <c r="I6" s="146">
        <f>'Input-Results'!W7</f>
        <v>1.0809168</v>
      </c>
      <c r="J6" s="64" t="s">
        <v>2</v>
      </c>
      <c r="L6" s="141"/>
      <c r="M6" s="57"/>
      <c r="N6" s="142"/>
      <c r="O6" s="142"/>
      <c r="P6" s="143" t="s">
        <v>29</v>
      </c>
      <c r="Q6" s="144" t="s">
        <v>30</v>
      </c>
      <c r="S6" s="123"/>
      <c r="T6" s="187"/>
      <c r="U6" s="188"/>
      <c r="V6" s="188"/>
      <c r="W6" s="189" t="s">
        <v>29</v>
      </c>
      <c r="X6" s="190" t="s">
        <v>30</v>
      </c>
    </row>
    <row r="7" spans="3:24" x14ac:dyDescent="0.2">
      <c r="C7" s="63"/>
      <c r="D7" s="53"/>
      <c r="E7" s="152"/>
      <c r="F7" s="181"/>
      <c r="G7" s="141" t="s">
        <v>104</v>
      </c>
      <c r="H7" s="57"/>
      <c r="I7" s="146">
        <f>'Input-Results'!W10</f>
        <v>2.8871999999999995</v>
      </c>
      <c r="J7" s="64" t="s">
        <v>2</v>
      </c>
      <c r="L7" s="141" t="s">
        <v>163</v>
      </c>
      <c r="M7" s="146">
        <f>I6</f>
        <v>1.0809168</v>
      </c>
      <c r="N7" s="145" t="s">
        <v>2</v>
      </c>
      <c r="O7" s="142" t="s">
        <v>31</v>
      </c>
      <c r="P7" s="147">
        <f>I14</f>
        <v>443</v>
      </c>
      <c r="Q7" s="64">
        <f>'Input-Results'!S12</f>
        <v>1.02</v>
      </c>
      <c r="S7" s="63" t="s">
        <v>103</v>
      </c>
      <c r="T7" s="152">
        <f>E6</f>
        <v>7.9217999999999993</v>
      </c>
      <c r="U7" s="131" t="s">
        <v>2</v>
      </c>
      <c r="V7" s="128" t="s">
        <v>31</v>
      </c>
      <c r="W7" s="102">
        <f>E20</f>
        <v>358.8</v>
      </c>
      <c r="X7" s="122">
        <f>'Input-Results'!Q12</f>
        <v>1.03</v>
      </c>
    </row>
    <row r="8" spans="3:24" x14ac:dyDescent="0.2">
      <c r="C8" s="63"/>
      <c r="D8" s="53"/>
      <c r="E8" s="152"/>
      <c r="F8" s="181"/>
      <c r="G8" s="141"/>
      <c r="H8" s="57"/>
      <c r="I8" s="146"/>
      <c r="J8" s="64"/>
      <c r="L8" s="141"/>
      <c r="M8" s="337">
        <f>M7/1000/60</f>
        <v>1.8015279999999999E-5</v>
      </c>
      <c r="N8" s="145" t="s">
        <v>3</v>
      </c>
      <c r="O8" s="142" t="s">
        <v>31</v>
      </c>
      <c r="P8" s="147">
        <f t="shared" ref="P8:Q8" si="0">P7</f>
        <v>443</v>
      </c>
      <c r="Q8" s="64">
        <f t="shared" si="0"/>
        <v>1.02</v>
      </c>
      <c r="S8" s="63"/>
      <c r="T8" s="506">
        <f>T7/1000/60</f>
        <v>1.3202999999999999E-4</v>
      </c>
      <c r="U8" s="131" t="s">
        <v>3</v>
      </c>
      <c r="V8" s="128" t="s">
        <v>31</v>
      </c>
      <c r="W8" s="102">
        <f>W7</f>
        <v>358.8</v>
      </c>
      <c r="X8" s="122">
        <f>X7</f>
        <v>1.03</v>
      </c>
    </row>
    <row r="9" spans="3:24" x14ac:dyDescent="0.2">
      <c r="C9" s="63"/>
      <c r="D9" s="53"/>
      <c r="E9" s="152"/>
      <c r="F9" s="181"/>
      <c r="G9" s="141"/>
      <c r="H9" s="57"/>
      <c r="I9" s="146"/>
      <c r="J9" s="64"/>
      <c r="L9" s="141" t="s">
        <v>104</v>
      </c>
      <c r="M9" s="146">
        <f>I7</f>
        <v>2.8871999999999995</v>
      </c>
      <c r="N9" s="145" t="s">
        <v>2</v>
      </c>
      <c r="O9" s="142" t="s">
        <v>31</v>
      </c>
      <c r="P9" s="147">
        <f>P7</f>
        <v>443</v>
      </c>
      <c r="Q9" s="64">
        <f>Q7</f>
        <v>1.02</v>
      </c>
      <c r="S9" s="63"/>
      <c r="T9" s="185"/>
      <c r="U9" s="131"/>
      <c r="V9" s="128"/>
      <c r="W9" s="53"/>
      <c r="X9" s="122"/>
    </row>
    <row r="10" spans="3:24" x14ac:dyDescent="0.2">
      <c r="C10" s="63" t="s">
        <v>45</v>
      </c>
      <c r="D10" s="53"/>
      <c r="E10" s="152">
        <f>E6</f>
        <v>7.9217999999999993</v>
      </c>
      <c r="F10" s="181" t="s">
        <v>2</v>
      </c>
      <c r="G10" s="141" t="s">
        <v>45</v>
      </c>
      <c r="H10" s="57"/>
      <c r="I10" s="146">
        <f>I6+I7</f>
        <v>3.9681167999999998</v>
      </c>
      <c r="J10" s="64" t="s">
        <v>2</v>
      </c>
      <c r="L10" s="141"/>
      <c r="M10" s="337">
        <f>M9/1000/60</f>
        <v>4.8119999999999993E-5</v>
      </c>
      <c r="N10" s="145" t="s">
        <v>3</v>
      </c>
      <c r="O10" s="142" t="s">
        <v>31</v>
      </c>
      <c r="P10" s="147">
        <f>P7</f>
        <v>443</v>
      </c>
      <c r="Q10" s="64">
        <f>Q7</f>
        <v>1.02</v>
      </c>
      <c r="S10" s="63"/>
      <c r="T10" s="185"/>
      <c r="U10" s="131"/>
      <c r="V10" s="128"/>
      <c r="W10" s="53"/>
      <c r="X10" s="122"/>
    </row>
    <row r="11" spans="3:24" x14ac:dyDescent="0.2">
      <c r="C11" s="63" t="s">
        <v>45</v>
      </c>
      <c r="D11" s="53"/>
      <c r="E11" s="338">
        <f>E10/1000/60</f>
        <v>1.3202999999999999E-4</v>
      </c>
      <c r="F11" s="181" t="s">
        <v>3</v>
      </c>
      <c r="G11" s="141" t="s">
        <v>46</v>
      </c>
      <c r="H11" s="57"/>
      <c r="I11" s="337">
        <f>I10/1000/60</f>
        <v>6.6135279999999995E-5</v>
      </c>
      <c r="J11" s="64" t="s">
        <v>3</v>
      </c>
      <c r="L11" s="141"/>
      <c r="M11" s="146"/>
      <c r="N11" s="145"/>
      <c r="O11" s="142"/>
      <c r="P11" s="147"/>
      <c r="Q11" s="64"/>
      <c r="S11" s="63"/>
      <c r="T11" s="185"/>
      <c r="U11" s="131"/>
      <c r="V11" s="128"/>
      <c r="W11" s="53"/>
      <c r="X11" s="122"/>
    </row>
    <row r="12" spans="3:24" ht="17" x14ac:dyDescent="0.25">
      <c r="C12" s="63" t="s">
        <v>4</v>
      </c>
      <c r="D12" s="53" t="s">
        <v>11</v>
      </c>
      <c r="E12" s="56">
        <f>'Interpolation 3'!ET9</f>
        <v>840.6</v>
      </c>
      <c r="F12" s="181" t="s">
        <v>0</v>
      </c>
      <c r="G12" s="141" t="s">
        <v>4</v>
      </c>
      <c r="H12" s="57" t="s">
        <v>12</v>
      </c>
      <c r="I12" s="59">
        <f>'Interpolation 3'!KX9</f>
        <v>3228.4674890134279</v>
      </c>
      <c r="J12" s="64" t="s">
        <v>0</v>
      </c>
      <c r="L12" s="141"/>
      <c r="M12" s="146"/>
      <c r="N12" s="145"/>
      <c r="O12" s="142"/>
      <c r="P12" s="147"/>
      <c r="Q12" s="64"/>
      <c r="S12" s="63"/>
      <c r="T12" s="185"/>
      <c r="U12" s="131"/>
      <c r="V12" s="128"/>
      <c r="W12" s="53"/>
      <c r="X12" s="122"/>
    </row>
    <row r="13" spans="3:24" ht="17" x14ac:dyDescent="0.25">
      <c r="C13" s="63" t="s">
        <v>5</v>
      </c>
      <c r="D13" s="53" t="s">
        <v>6</v>
      </c>
      <c r="E13" s="55">
        <f>E11*E12</f>
        <v>0.110984418</v>
      </c>
      <c r="F13" s="181" t="s">
        <v>19</v>
      </c>
      <c r="G13" s="141" t="s">
        <v>5</v>
      </c>
      <c r="H13" s="57" t="s">
        <v>13</v>
      </c>
      <c r="I13" s="58">
        <f>I11*I12</f>
        <v>0.21351560135679995</v>
      </c>
      <c r="J13" s="64" t="s">
        <v>8</v>
      </c>
      <c r="L13" s="141"/>
      <c r="M13" s="146"/>
      <c r="N13" s="145"/>
      <c r="O13" s="142"/>
      <c r="P13" s="147"/>
      <c r="Q13" s="64"/>
      <c r="S13" s="63"/>
      <c r="T13" s="185"/>
      <c r="U13" s="131"/>
      <c r="V13" s="128"/>
      <c r="W13" s="53"/>
      <c r="X13" s="122"/>
    </row>
    <row r="14" spans="3:24" ht="18" thickBot="1" x14ac:dyDescent="0.3">
      <c r="C14" s="86" t="s">
        <v>451</v>
      </c>
      <c r="D14" s="87" t="s">
        <v>16</v>
      </c>
      <c r="E14" s="165">
        <f>'Input-Results'!D19</f>
        <v>22</v>
      </c>
      <c r="F14" s="784" t="s">
        <v>7</v>
      </c>
      <c r="G14" s="148" t="s">
        <v>452</v>
      </c>
      <c r="H14" s="149" t="s">
        <v>17</v>
      </c>
      <c r="I14" s="445">
        <f>'Input-Results'!D30</f>
        <v>443</v>
      </c>
      <c r="J14" s="151" t="s">
        <v>7</v>
      </c>
      <c r="L14" s="141"/>
      <c r="M14" s="146"/>
      <c r="N14" s="145"/>
      <c r="O14" s="142"/>
      <c r="P14" s="147"/>
      <c r="Q14" s="64"/>
      <c r="S14" s="63"/>
      <c r="T14" s="185"/>
      <c r="U14" s="131"/>
      <c r="V14" s="128"/>
      <c r="W14" s="53"/>
      <c r="X14" s="122"/>
    </row>
    <row r="15" spans="3:24" x14ac:dyDescent="0.2">
      <c r="C15" s="83" t="s">
        <v>59</v>
      </c>
      <c r="D15" s="84" t="s">
        <v>15</v>
      </c>
      <c r="E15" s="260">
        <f>'Input-Results'!D47</f>
        <v>0.8</v>
      </c>
      <c r="F15" s="260"/>
      <c r="G15" s="450"/>
      <c r="H15" s="450"/>
      <c r="I15" s="450"/>
      <c r="J15" s="451"/>
      <c r="L15" s="141"/>
      <c r="M15" s="146"/>
      <c r="N15" s="145"/>
      <c r="O15" s="142"/>
      <c r="P15" s="147"/>
      <c r="Q15" s="64"/>
      <c r="S15" s="63"/>
      <c r="T15" s="185"/>
      <c r="U15" s="131"/>
      <c r="V15" s="128"/>
      <c r="W15" s="53"/>
      <c r="X15" s="122"/>
    </row>
    <row r="16" spans="3:24" x14ac:dyDescent="0.2">
      <c r="C16" s="83" t="s">
        <v>52</v>
      </c>
      <c r="D16" s="85" t="s">
        <v>53</v>
      </c>
      <c r="E16" s="260">
        <f>'Input-Results'!D38</f>
        <v>1</v>
      </c>
      <c r="F16" s="61" t="s">
        <v>63</v>
      </c>
      <c r="G16" s="62"/>
      <c r="H16" s="62"/>
      <c r="I16" s="62"/>
      <c r="J16" s="66"/>
      <c r="L16" s="141"/>
      <c r="M16" s="146"/>
      <c r="N16" s="145"/>
      <c r="O16" s="142"/>
      <c r="P16" s="147"/>
      <c r="Q16" s="64"/>
      <c r="S16" s="63"/>
      <c r="T16" s="185"/>
      <c r="U16" s="131"/>
      <c r="V16" s="128"/>
      <c r="W16" s="53"/>
      <c r="X16" s="122"/>
    </row>
    <row r="17" spans="3:24" x14ac:dyDescent="0.2">
      <c r="C17" s="83" t="s">
        <v>56</v>
      </c>
      <c r="D17" s="85" t="s">
        <v>57</v>
      </c>
      <c r="E17" s="103">
        <f>MIN(E13,I13)/MAX(E13:I13)</f>
        <v>0.51979535591189441</v>
      </c>
      <c r="F17" s="61"/>
      <c r="G17" s="62"/>
      <c r="H17" s="62"/>
      <c r="I17" s="62"/>
      <c r="J17" s="66"/>
      <c r="L17" s="141" t="s">
        <v>164</v>
      </c>
      <c r="M17" s="146">
        <f>(1/461.52)*(100000*Q17/(P17+273))</f>
        <v>0.30867156473968455</v>
      </c>
      <c r="N17" s="145" t="s">
        <v>23</v>
      </c>
      <c r="O17" s="142" t="s">
        <v>31</v>
      </c>
      <c r="P17" s="147">
        <f>P7</f>
        <v>443</v>
      </c>
      <c r="Q17" s="64">
        <f>Q7</f>
        <v>1.02</v>
      </c>
      <c r="S17" s="63" t="s">
        <v>161</v>
      </c>
      <c r="T17" s="55">
        <f>(1/188.92)*(100000*X17/(W17+273))</f>
        <v>0.86293814385658096</v>
      </c>
      <c r="U17" s="131" t="s">
        <v>23</v>
      </c>
      <c r="V17" s="128" t="s">
        <v>31</v>
      </c>
      <c r="W17" s="102">
        <f>W7</f>
        <v>358.8</v>
      </c>
      <c r="X17" s="122">
        <f>X7</f>
        <v>1.03</v>
      </c>
    </row>
    <row r="18" spans="3:24" ht="17" x14ac:dyDescent="0.25">
      <c r="C18" s="83" t="s">
        <v>54</v>
      </c>
      <c r="D18" s="84" t="s">
        <v>55</v>
      </c>
      <c r="E18" s="104">
        <f>((((1-E17*E15)/(1-E15))^E16)-1)/((((1-E17*E15)/(1-E15))^E16)-E17)</f>
        <v>0.8</v>
      </c>
      <c r="F18" s="61" t="s">
        <v>60</v>
      </c>
      <c r="G18" s="62"/>
      <c r="H18" s="62"/>
      <c r="I18" s="62"/>
      <c r="J18" s="66"/>
      <c r="L18" s="387" t="s">
        <v>162</v>
      </c>
      <c r="M18" s="146">
        <f>(1/518.28)*(100000*Q18/(P18+273))</f>
        <v>0.27486706135420857</v>
      </c>
      <c r="N18" s="145" t="s">
        <v>23</v>
      </c>
      <c r="O18" s="142" t="s">
        <v>31</v>
      </c>
      <c r="P18" s="147">
        <f>P7</f>
        <v>443</v>
      </c>
      <c r="Q18" s="64">
        <f>Q7</f>
        <v>1.02</v>
      </c>
      <c r="S18" s="63"/>
      <c r="T18" s="152"/>
      <c r="U18" s="131"/>
      <c r="V18" s="128"/>
      <c r="W18" s="102"/>
      <c r="X18" s="122"/>
    </row>
    <row r="19" spans="3:24" ht="17" x14ac:dyDescent="0.25">
      <c r="C19" s="65" t="s">
        <v>14</v>
      </c>
      <c r="D19" s="60" t="s">
        <v>18</v>
      </c>
      <c r="E19" s="105">
        <f>E18*MIN(E13,I13)*(I14-E14)</f>
        <v>37.379551982400002</v>
      </c>
      <c r="F19" s="61" t="s">
        <v>1</v>
      </c>
      <c r="G19" s="62" t="s">
        <v>22</v>
      </c>
      <c r="H19" s="62"/>
      <c r="I19" s="62"/>
      <c r="J19" s="66"/>
      <c r="L19" s="141" t="s">
        <v>46</v>
      </c>
      <c r="M19" s="146">
        <f>1/(((I6/I10)/M17)+((I7/I10)/M18))</f>
        <v>0.28331910272782312</v>
      </c>
      <c r="N19" s="145" t="s">
        <v>23</v>
      </c>
      <c r="O19" s="142" t="s">
        <v>31</v>
      </c>
      <c r="P19" s="147">
        <f>P9</f>
        <v>443</v>
      </c>
      <c r="Q19" s="64">
        <f>Q9</f>
        <v>1.02</v>
      </c>
      <c r="S19" s="63"/>
      <c r="T19" s="506"/>
      <c r="U19" s="131"/>
      <c r="V19" s="128"/>
      <c r="W19" s="102"/>
      <c r="X19" s="122"/>
    </row>
    <row r="20" spans="3:24" ht="18" thickBot="1" x14ac:dyDescent="0.3">
      <c r="C20" s="287" t="s">
        <v>64</v>
      </c>
      <c r="D20" s="106" t="s">
        <v>20</v>
      </c>
      <c r="E20" s="444">
        <f>E14+E19/E13</f>
        <v>358.8</v>
      </c>
      <c r="F20" s="289" t="s">
        <v>7</v>
      </c>
      <c r="G20" s="446" t="s">
        <v>566</v>
      </c>
      <c r="H20" s="446" t="s">
        <v>21</v>
      </c>
      <c r="I20" s="447">
        <f>I14-E19/I13</f>
        <v>267.93292412887394</v>
      </c>
      <c r="J20" s="448" t="s">
        <v>7</v>
      </c>
      <c r="L20" s="141"/>
      <c r="M20" s="146"/>
      <c r="N20" s="145"/>
      <c r="O20" s="142"/>
      <c r="P20" s="147"/>
      <c r="Q20" s="64"/>
      <c r="S20" s="63"/>
      <c r="T20" s="53"/>
      <c r="U20" s="53"/>
      <c r="V20" s="53"/>
      <c r="W20" s="53"/>
      <c r="X20" s="122"/>
    </row>
    <row r="21" spans="3:24" x14ac:dyDescent="0.2">
      <c r="C21" s="788"/>
      <c r="D21" s="786"/>
      <c r="E21" s="786"/>
      <c r="F21" s="785"/>
      <c r="G21" s="786"/>
      <c r="H21" s="786"/>
      <c r="I21" s="786"/>
      <c r="J21" s="787"/>
      <c r="L21" s="141"/>
      <c r="M21" s="146"/>
      <c r="N21" s="145"/>
      <c r="O21" s="142"/>
      <c r="P21" s="147"/>
      <c r="Q21" s="64"/>
      <c r="S21" s="63"/>
      <c r="T21" s="53"/>
      <c r="U21" s="53"/>
      <c r="V21" s="53"/>
      <c r="W21" s="53"/>
      <c r="X21" s="122"/>
    </row>
    <row r="22" spans="3:24" ht="15.5" customHeight="1" x14ac:dyDescent="0.2">
      <c r="C22" s="65"/>
      <c r="D22" s="60"/>
      <c r="E22" s="271"/>
      <c r="F22" s="61"/>
      <c r="G22" s="272"/>
      <c r="H22" s="62"/>
      <c r="I22" s="62"/>
      <c r="J22" s="66"/>
      <c r="L22" s="141"/>
      <c r="M22" s="146"/>
      <c r="N22" s="145"/>
      <c r="O22" s="142"/>
      <c r="P22" s="147"/>
      <c r="Q22" s="64"/>
      <c r="S22" s="63"/>
      <c r="T22" s="53"/>
      <c r="U22" s="53"/>
      <c r="V22" s="53"/>
      <c r="W22" s="53"/>
      <c r="X22" s="122"/>
    </row>
    <row r="23" spans="3:24" ht="15.5" customHeight="1" x14ac:dyDescent="0.2">
      <c r="C23" s="65"/>
      <c r="D23" s="60"/>
      <c r="E23" s="60"/>
      <c r="F23" s="61"/>
      <c r="G23" s="62"/>
      <c r="H23" s="62"/>
      <c r="I23" s="62"/>
      <c r="J23" s="66"/>
      <c r="L23" s="141" t="s">
        <v>184</v>
      </c>
      <c r="M23" s="146">
        <f>(3600*M8/M17)+(3600*M10/M18)</f>
        <v>0.84034929416222104</v>
      </c>
      <c r="N23" s="145" t="s">
        <v>25</v>
      </c>
      <c r="O23" s="142" t="s">
        <v>31</v>
      </c>
      <c r="P23" s="147">
        <f>P7</f>
        <v>443</v>
      </c>
      <c r="Q23" s="64">
        <f>Q7</f>
        <v>1.02</v>
      </c>
      <c r="S23" s="63" t="s">
        <v>568</v>
      </c>
      <c r="T23" s="102">
        <f>(3600*T8/T17)</f>
        <v>0.55080193567036884</v>
      </c>
      <c r="U23" s="131" t="s">
        <v>25</v>
      </c>
      <c r="V23" s="128" t="s">
        <v>31</v>
      </c>
      <c r="W23" s="102">
        <f>W7</f>
        <v>358.8</v>
      </c>
      <c r="X23" s="122">
        <f>X7</f>
        <v>1.03</v>
      </c>
    </row>
    <row r="24" spans="3:24" ht="16" thickBot="1" x14ac:dyDescent="0.25">
      <c r="C24" s="273"/>
      <c r="D24" s="270"/>
      <c r="E24" s="274"/>
      <c r="F24" s="275"/>
      <c r="G24" s="269"/>
      <c r="H24" s="269"/>
      <c r="I24" s="269"/>
      <c r="J24" s="276"/>
      <c r="L24" s="141"/>
      <c r="M24" s="59">
        <f>M23*1000/60</f>
        <v>14.005821569370349</v>
      </c>
      <c r="N24" s="145" t="s">
        <v>49</v>
      </c>
      <c r="O24" s="142" t="s">
        <v>31</v>
      </c>
      <c r="P24" s="147">
        <f>P7</f>
        <v>443</v>
      </c>
      <c r="Q24" s="64">
        <f>Q7</f>
        <v>1.02</v>
      </c>
      <c r="S24" s="63"/>
      <c r="T24" s="56">
        <f>T23*1000/60</f>
        <v>9.1800322611728138</v>
      </c>
      <c r="U24" s="131" t="s">
        <v>49</v>
      </c>
      <c r="V24" s="128" t="s">
        <v>31</v>
      </c>
      <c r="W24" s="102">
        <f>W7</f>
        <v>358.8</v>
      </c>
      <c r="X24" s="122">
        <f>X7</f>
        <v>1.03</v>
      </c>
    </row>
    <row r="25" spans="3:24" ht="16" thickBot="1" x14ac:dyDescent="0.25">
      <c r="L25" s="141"/>
      <c r="M25" s="58"/>
      <c r="N25" s="145"/>
      <c r="O25" s="142"/>
      <c r="P25" s="147"/>
      <c r="Q25" s="64"/>
      <c r="S25" s="63"/>
      <c r="T25" s="53"/>
      <c r="U25" s="53"/>
      <c r="V25" s="53"/>
      <c r="W25" s="53"/>
      <c r="X25" s="122"/>
    </row>
    <row r="26" spans="3:24" x14ac:dyDescent="0.2">
      <c r="C26" s="365" t="s">
        <v>181</v>
      </c>
      <c r="D26" s="366" t="s">
        <v>182</v>
      </c>
      <c r="E26" s="367"/>
      <c r="F26" s="367"/>
      <c r="G26" s="366"/>
      <c r="H26" s="366"/>
      <c r="I26" s="366"/>
      <c r="J26" s="368"/>
      <c r="L26" s="387" t="s">
        <v>191</v>
      </c>
      <c r="M26" s="245">
        <f>M23*(P26+273)/(P23+273)</f>
        <v>0.63487793433073403</v>
      </c>
      <c r="N26" s="145" t="s">
        <v>25</v>
      </c>
      <c r="O26" s="142" t="s">
        <v>31</v>
      </c>
      <c r="P26" s="147">
        <f>I20</f>
        <v>267.93292412887394</v>
      </c>
      <c r="Q26" s="64">
        <f>Q7</f>
        <v>1.02</v>
      </c>
      <c r="S26" s="63" t="s">
        <v>184</v>
      </c>
      <c r="T26" s="102">
        <f>T23*(W26+273)/(W23+273)</f>
        <v>0.25718039098252421</v>
      </c>
      <c r="U26" s="131" t="s">
        <v>25</v>
      </c>
      <c r="V26" s="128" t="s">
        <v>31</v>
      </c>
      <c r="W26" s="102">
        <f>E14</f>
        <v>22</v>
      </c>
      <c r="X26" s="122">
        <f>X7</f>
        <v>1.03</v>
      </c>
    </row>
    <row r="27" spans="3:24" x14ac:dyDescent="0.2">
      <c r="C27" s="213" t="s">
        <v>179</v>
      </c>
      <c r="D27" s="360">
        <f>I14</f>
        <v>443</v>
      </c>
      <c r="E27" s="371" t="s">
        <v>7</v>
      </c>
      <c r="F27" s="361"/>
      <c r="G27" s="93" t="s">
        <v>180</v>
      </c>
      <c r="H27" s="309">
        <f>I20</f>
        <v>267.93292412887394</v>
      </c>
      <c r="I27" s="374" t="s">
        <v>7</v>
      </c>
      <c r="J27" s="369"/>
      <c r="L27" s="141"/>
      <c r="M27" s="59">
        <f>M26*1000/60</f>
        <v>10.581298905512233</v>
      </c>
      <c r="N27" s="145" t="s">
        <v>49</v>
      </c>
      <c r="O27" s="142" t="s">
        <v>31</v>
      </c>
      <c r="P27" s="147">
        <f>P26</f>
        <v>267.93292412887394</v>
      </c>
      <c r="Q27" s="64">
        <f>Q9</f>
        <v>1.02</v>
      </c>
      <c r="S27" s="63"/>
      <c r="T27" s="56">
        <f>T26*1000/60</f>
        <v>4.286339849708737</v>
      </c>
      <c r="U27" s="131" t="s">
        <v>49</v>
      </c>
      <c r="V27" s="128" t="s">
        <v>31</v>
      </c>
      <c r="W27" s="102">
        <f>W26</f>
        <v>22</v>
      </c>
      <c r="X27" s="122">
        <f>X7</f>
        <v>1.03</v>
      </c>
    </row>
    <row r="28" spans="3:24" x14ac:dyDescent="0.2">
      <c r="C28" s="96" t="s">
        <v>178</v>
      </c>
      <c r="D28" s="335">
        <f>0.01*0.61078*EXP((17.27*D27)/(D27+237.3))</f>
        <v>467.66254612112436</v>
      </c>
      <c r="E28" s="372" t="s">
        <v>177</v>
      </c>
      <c r="F28" s="359"/>
      <c r="G28" s="93" t="s">
        <v>178</v>
      </c>
      <c r="H28" s="94">
        <f>0.01*0.61078*EXP((17.27*H27)/(H27+237.3))</f>
        <v>57.995333839497576</v>
      </c>
      <c r="I28" s="374" t="s">
        <v>177</v>
      </c>
      <c r="J28" s="369"/>
      <c r="L28" s="141"/>
      <c r="M28" s="59"/>
      <c r="N28" s="145"/>
      <c r="O28" s="142"/>
      <c r="P28" s="57"/>
      <c r="Q28" s="64"/>
      <c r="S28" s="63"/>
      <c r="T28" s="56"/>
      <c r="U28" s="131"/>
      <c r="V28" s="128"/>
      <c r="W28" s="53"/>
      <c r="X28" s="122"/>
    </row>
    <row r="29" spans="3:24" x14ac:dyDescent="0.2">
      <c r="C29" s="336" t="s">
        <v>183</v>
      </c>
      <c r="D29" s="362">
        <f>(('Input-Results'!N7/60)*8.3144598*(D27+273)/(M23/3600))/100000</f>
        <v>0.25502909003863444</v>
      </c>
      <c r="E29" s="373" t="s">
        <v>177</v>
      </c>
      <c r="F29" s="363"/>
      <c r="G29" s="93" t="s">
        <v>183</v>
      </c>
      <c r="H29" s="94">
        <f>(('Input-Results'!N7/60)*8.3144598*(H27+273)/(M26/3600))/100000</f>
        <v>0.25502909003863444</v>
      </c>
      <c r="I29" s="374" t="s">
        <v>177</v>
      </c>
      <c r="J29" s="369"/>
      <c r="L29" s="141"/>
      <c r="M29" s="59"/>
      <c r="N29" s="145"/>
      <c r="O29" s="142"/>
      <c r="P29" s="57"/>
      <c r="Q29" s="64"/>
      <c r="S29" s="63"/>
      <c r="T29" s="56"/>
      <c r="U29" s="131"/>
      <c r="V29" s="128"/>
      <c r="W29" s="53"/>
      <c r="X29" s="122"/>
    </row>
    <row r="30" spans="3:24" ht="19" x14ac:dyDescent="0.25">
      <c r="C30" s="839" t="s">
        <v>185</v>
      </c>
      <c r="D30" s="840"/>
      <c r="E30" s="840"/>
      <c r="F30" s="841"/>
      <c r="G30" s="842" t="s">
        <v>186</v>
      </c>
      <c r="H30" s="840"/>
      <c r="I30" s="840"/>
      <c r="J30" s="843"/>
      <c r="L30" s="141"/>
      <c r="M30" s="59"/>
      <c r="N30" s="145"/>
      <c r="O30" s="142"/>
      <c r="P30" s="57"/>
      <c r="Q30" s="64"/>
      <c r="S30" s="63"/>
      <c r="T30" s="56"/>
      <c r="U30" s="131"/>
      <c r="V30" s="128"/>
      <c r="W30" s="53"/>
      <c r="X30" s="122"/>
    </row>
    <row r="31" spans="3:24" ht="18.5" customHeight="1" thickBot="1" x14ac:dyDescent="0.3">
      <c r="C31" s="844" t="str">
        <f>IF(D28&lt;D29,"CONDENSATION","NO CONDENSATION")</f>
        <v>NO CONDENSATION</v>
      </c>
      <c r="D31" s="845"/>
      <c r="E31" s="845"/>
      <c r="F31" s="846"/>
      <c r="G31" s="847" t="str">
        <f>IF(H28&lt;H29,"CONDENSATION","NO CONDENSATION")</f>
        <v>NO CONDENSATION</v>
      </c>
      <c r="H31" s="845"/>
      <c r="I31" s="845"/>
      <c r="J31" s="848"/>
      <c r="L31" s="141"/>
      <c r="M31" s="59"/>
      <c r="N31" s="145"/>
      <c r="O31" s="142"/>
      <c r="P31" s="57"/>
      <c r="Q31" s="64"/>
      <c r="S31" s="63"/>
      <c r="T31" s="56"/>
      <c r="U31" s="131"/>
      <c r="V31" s="128"/>
      <c r="W31" s="53"/>
      <c r="X31" s="122"/>
    </row>
    <row r="32" spans="3:24" ht="15.5" customHeight="1" thickBot="1" x14ac:dyDescent="0.25">
      <c r="C32" s="5"/>
      <c r="D32" s="5"/>
      <c r="E32" s="167"/>
      <c r="F32" s="5"/>
      <c r="G32" s="433" t="s">
        <v>231</v>
      </c>
      <c r="H32" s="436">
        <f>(237.3*LN(((H29*100)/0.61078)))/(17.27-(LN(((H29*100)/0.61078))))</f>
        <v>65.41190572369274</v>
      </c>
      <c r="I32" s="434" t="s">
        <v>7</v>
      </c>
      <c r="J32" s="435"/>
      <c r="L32" s="141"/>
      <c r="M32" s="59"/>
      <c r="N32" s="145"/>
      <c r="O32" s="142"/>
      <c r="P32" s="57"/>
      <c r="Q32" s="64"/>
      <c r="S32" s="63"/>
      <c r="T32" s="56"/>
      <c r="U32" s="131"/>
      <c r="V32" s="128"/>
      <c r="W32" s="53"/>
      <c r="X32" s="122"/>
    </row>
    <row r="33" spans="2:24" x14ac:dyDescent="0.2">
      <c r="L33" s="141"/>
      <c r="M33" s="147">
        <f>M24*((P33+273)/(P7+273))*(Q24/Q33)</f>
        <v>5.7710377304841849</v>
      </c>
      <c r="N33" s="145" t="s">
        <v>51</v>
      </c>
      <c r="O33" s="142" t="s">
        <v>31</v>
      </c>
      <c r="P33" s="57">
        <v>20</v>
      </c>
      <c r="Q33" s="64">
        <v>1.0129999999999999</v>
      </c>
      <c r="S33" s="63"/>
      <c r="T33" s="102">
        <f>T24*((W33+273)/(W7+273))*(X24/X33)</f>
        <v>4.3287248924777879</v>
      </c>
      <c r="U33" s="131" t="s">
        <v>51</v>
      </c>
      <c r="V33" s="128" t="s">
        <v>31</v>
      </c>
      <c r="W33" s="53">
        <v>20</v>
      </c>
      <c r="X33" s="122">
        <v>1.0129999999999999</v>
      </c>
    </row>
    <row r="34" spans="2:24" ht="15.5" customHeight="1" thickBot="1" x14ac:dyDescent="0.25">
      <c r="C34" s="5"/>
      <c r="D34" s="5"/>
      <c r="E34" s="167"/>
      <c r="F34" s="5"/>
      <c r="G34" s="5"/>
      <c r="H34" s="5"/>
      <c r="I34" s="5"/>
      <c r="J34" s="5"/>
      <c r="L34" s="141"/>
      <c r="M34" s="147">
        <f>M24*2.119*((273+P34)/(273+P7))*(Q24/Q34)</f>
        <v>12.22882895089599</v>
      </c>
      <c r="N34" s="145" t="s">
        <v>26</v>
      </c>
      <c r="O34" s="142" t="s">
        <v>31</v>
      </c>
      <c r="P34" s="57">
        <v>20</v>
      </c>
      <c r="Q34" s="64">
        <v>1.0129999999999999</v>
      </c>
      <c r="S34" s="63"/>
      <c r="T34" s="102">
        <f>T24*2.119*((273+W34)/(273+W7))*(X24/X34)</f>
        <v>9.1725680471604321</v>
      </c>
      <c r="U34" s="131" t="s">
        <v>26</v>
      </c>
      <c r="V34" s="128" t="s">
        <v>31</v>
      </c>
      <c r="W34" s="53">
        <v>20</v>
      </c>
      <c r="X34" s="122">
        <v>1.0129999999999999</v>
      </c>
    </row>
    <row r="35" spans="2:24" ht="20" thickBot="1" x14ac:dyDescent="0.3">
      <c r="D35" s="119">
        <f>E16</f>
        <v>1</v>
      </c>
      <c r="E35" s="118" t="s">
        <v>62</v>
      </c>
      <c r="F35" s="116"/>
      <c r="J35" s="5"/>
      <c r="K35" s="5"/>
      <c r="L35" s="148"/>
      <c r="M35" s="195">
        <f>M34/60</f>
        <v>0.20381381584826649</v>
      </c>
      <c r="N35" s="196" t="s">
        <v>28</v>
      </c>
      <c r="O35" s="150" t="s">
        <v>31</v>
      </c>
      <c r="P35" s="149">
        <v>20</v>
      </c>
      <c r="Q35" s="151">
        <v>1.0129999999999999</v>
      </c>
      <c r="S35" s="86"/>
      <c r="T35" s="197">
        <f>T34/60</f>
        <v>0.15287613411934053</v>
      </c>
      <c r="U35" s="198" t="s">
        <v>28</v>
      </c>
      <c r="V35" s="132" t="s">
        <v>31</v>
      </c>
      <c r="W35" s="87">
        <v>20</v>
      </c>
      <c r="X35" s="124">
        <v>1.0129999999999999</v>
      </c>
    </row>
    <row r="36" spans="2:24" ht="16" thickBot="1" x14ac:dyDescent="0.25">
      <c r="C36" s="2"/>
      <c r="D36" s="120"/>
      <c r="E36" s="2"/>
      <c r="F36" s="121"/>
      <c r="J36" s="5"/>
      <c r="K36" s="5"/>
    </row>
    <row r="37" spans="2:24" ht="19" x14ac:dyDescent="0.25">
      <c r="B37" s="70">
        <f>I20</f>
        <v>267.93292412887394</v>
      </c>
      <c r="C37" s="90" t="s">
        <v>7</v>
      </c>
      <c r="D37" s="110"/>
      <c r="E37" s="2"/>
      <c r="F37" s="114"/>
      <c r="G37" s="199">
        <f>I14</f>
        <v>443</v>
      </c>
      <c r="H37" s="68" t="s">
        <v>7</v>
      </c>
      <c r="I37" s="68"/>
      <c r="J37" s="5"/>
      <c r="K37" s="5"/>
    </row>
    <row r="38" spans="2:24" ht="19" x14ac:dyDescent="0.25">
      <c r="B38" s="264">
        <f>I10</f>
        <v>3.9681167999999998</v>
      </c>
      <c r="C38" s="68" t="s">
        <v>455</v>
      </c>
      <c r="D38" s="111"/>
      <c r="E38" s="2"/>
      <c r="F38" s="112"/>
      <c r="G38" s="200">
        <f>I10</f>
        <v>3.9681167999999998</v>
      </c>
      <c r="H38" s="68" t="s">
        <v>455</v>
      </c>
      <c r="I38" s="68"/>
      <c r="J38" s="5"/>
      <c r="K38" s="5"/>
    </row>
    <row r="39" spans="2:24" ht="19" x14ac:dyDescent="0.25">
      <c r="B39" s="69"/>
      <c r="C39" s="69"/>
      <c r="D39" s="112"/>
      <c r="E39" s="2"/>
      <c r="F39" s="112"/>
      <c r="G39" s="69"/>
      <c r="H39" s="69"/>
      <c r="I39" s="69"/>
      <c r="J39" s="5"/>
      <c r="K39" s="5"/>
    </row>
    <row r="40" spans="2:24" ht="19" x14ac:dyDescent="0.25">
      <c r="B40" s="67">
        <f>E14</f>
        <v>22</v>
      </c>
      <c r="C40" s="89" t="s">
        <v>7</v>
      </c>
      <c r="D40" s="112"/>
      <c r="E40" s="2"/>
      <c r="F40" s="112"/>
      <c r="G40" s="91">
        <f>E20</f>
        <v>358.8</v>
      </c>
      <c r="H40" s="67" t="s">
        <v>7</v>
      </c>
      <c r="I40" s="69"/>
      <c r="J40" s="174"/>
      <c r="K40" s="174"/>
    </row>
    <row r="41" spans="2:24" ht="20" thickBot="1" x14ac:dyDescent="0.3">
      <c r="B41" s="180">
        <f>E10</f>
        <v>7.9217999999999993</v>
      </c>
      <c r="C41" s="67" t="s">
        <v>298</v>
      </c>
      <c r="D41" s="113"/>
      <c r="E41" s="2"/>
      <c r="F41" s="115"/>
      <c r="G41" s="180">
        <f>B41</f>
        <v>7.9217999999999993</v>
      </c>
      <c r="H41" s="67" t="s">
        <v>298</v>
      </c>
      <c r="I41" s="69"/>
      <c r="J41" s="178"/>
      <c r="K41" s="179"/>
    </row>
    <row r="42" spans="2:24" ht="16" thickBot="1" x14ac:dyDescent="0.25">
      <c r="D42" s="120"/>
      <c r="E42" s="2"/>
      <c r="F42" s="121"/>
      <c r="J42" s="5"/>
      <c r="K42" s="5"/>
      <c r="L42" s="5"/>
      <c r="M42" s="5"/>
      <c r="N42" s="4"/>
      <c r="O42" s="4"/>
      <c r="P42" s="5"/>
      <c r="Q42" s="5"/>
      <c r="R42" s="5"/>
      <c r="S42" s="5"/>
    </row>
    <row r="43" spans="2:24" ht="20" thickBot="1" x14ac:dyDescent="0.3">
      <c r="D43" s="100" t="s">
        <v>61</v>
      </c>
      <c r="E43" s="117">
        <f>E19</f>
        <v>37.379551982400002</v>
      </c>
      <c r="F43" s="101" t="s">
        <v>1</v>
      </c>
      <c r="J43" s="5"/>
      <c r="K43" s="5"/>
    </row>
    <row r="44" spans="2:24" x14ac:dyDescent="0.2">
      <c r="J44" s="5"/>
      <c r="K44" s="5"/>
    </row>
    <row r="45" spans="2:24" x14ac:dyDescent="0.2">
      <c r="K45" s="5"/>
    </row>
  </sheetData>
  <mergeCells count="4">
    <mergeCell ref="C31:F31"/>
    <mergeCell ref="G31:J31"/>
    <mergeCell ref="C30:F30"/>
    <mergeCell ref="G30:J30"/>
  </mergeCells>
  <conditionalFormatting sqref="C31 G31">
    <cfRule type="cellIs" dxfId="11" priority="1" operator="equal">
      <formula>"NO CONDENSATION"</formula>
    </cfRule>
    <cfRule type="cellIs" dxfId="10" priority="2" operator="equal">
      <formula>"CONDENSATION"</formula>
    </cfRule>
  </conditionalFormatting>
  <pageMargins left="0.19685039370078741" right="0.19685039370078741" top="0.19685039370078741" bottom="0.19685039370078741" header="0" footer="0"/>
  <pageSetup paperSize="9" scale="8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22</vt:i4>
      </vt:variant>
      <vt:variant>
        <vt:lpstr>Benoemde bereiken</vt:lpstr>
      </vt:variant>
      <vt:variant>
        <vt:i4>10</vt:i4>
      </vt:variant>
    </vt:vector>
  </HeadingPairs>
  <TitlesOfParts>
    <vt:vector size="32" baseType="lpstr">
      <vt:lpstr>System</vt:lpstr>
      <vt:lpstr>Input-Results</vt:lpstr>
      <vt:lpstr>Condensers</vt:lpstr>
      <vt:lpstr>HE1</vt:lpstr>
      <vt:lpstr>HE2</vt:lpstr>
      <vt:lpstr>HE3</vt:lpstr>
      <vt:lpstr>HE4</vt:lpstr>
      <vt:lpstr>HE5</vt:lpstr>
      <vt:lpstr>HE6</vt:lpstr>
      <vt:lpstr>V1</vt:lpstr>
      <vt:lpstr>V2</vt:lpstr>
      <vt:lpstr>Boiler</vt:lpstr>
      <vt:lpstr>CON1.1</vt:lpstr>
      <vt:lpstr>CON1.2</vt:lpstr>
      <vt:lpstr>CON2</vt:lpstr>
      <vt:lpstr>CON3</vt:lpstr>
      <vt:lpstr>CON4</vt:lpstr>
      <vt:lpstr>CH4 compressors</vt:lpstr>
      <vt:lpstr>Interpolation 1</vt:lpstr>
      <vt:lpstr>Interpolation 2</vt:lpstr>
      <vt:lpstr>Interpolation 3</vt:lpstr>
      <vt:lpstr>Insulation</vt:lpstr>
      <vt:lpstr>Boiler!Afdrukbereik</vt:lpstr>
      <vt:lpstr>CON1.1!Afdrukbereik</vt:lpstr>
      <vt:lpstr>CON1.2!Afdrukbereik</vt:lpstr>
      <vt:lpstr>'HE2'!Afdrukbereik</vt:lpstr>
      <vt:lpstr>'HE3'!Afdrukbereik</vt:lpstr>
      <vt:lpstr>'HE5'!Afdrukbereik</vt:lpstr>
      <vt:lpstr>'HE6'!Afdrukbereik</vt:lpstr>
      <vt:lpstr>'Input-Results'!Afdrukbereik</vt:lpstr>
      <vt:lpstr>'V1'!Afdrukbereik</vt:lpstr>
      <vt:lpstr>'CH4 compressors'!Intercooler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Philips</dc:creator>
  <cp:lastModifiedBy>Arnold van Putten</cp:lastModifiedBy>
  <cp:lastPrinted>2019-01-17T15:57:02Z</cp:lastPrinted>
  <dcterms:created xsi:type="dcterms:W3CDTF">2018-09-25T11:28:48Z</dcterms:created>
  <dcterms:modified xsi:type="dcterms:W3CDTF">2020-04-06T14:35:21Z</dcterms:modified>
</cp:coreProperties>
</file>